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heet1" sheetId="1" r:id="rId1"/>
  </sheets>
  <definedNames>
    <definedName name="_xlnm._FilterDatabase" localSheetId="0" hidden="1">Sheet1!$A$9:$BS$1208</definedName>
  </definedNames>
  <calcPr calcId="145621"/>
</workbook>
</file>

<file path=xl/calcChain.xml><?xml version="1.0" encoding="utf-8"?>
<calcChain xmlns="http://schemas.openxmlformats.org/spreadsheetml/2006/main">
  <c r="C1208" i="1" l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<sst xmlns="http://schemas.openxmlformats.org/spreadsheetml/2006/main" count="6860" uniqueCount="1365">
  <si>
    <t>Дом</t>
  </si>
  <si>
    <t>Квартира</t>
  </si>
  <si>
    <t>Код плательщика</t>
  </si>
  <si>
    <t>Дата выгрузки</t>
  </si>
  <si>
    <t>Долг в месяцах. Все услуги</t>
  </si>
  <si>
    <t>Долг в месяцах. Услуги УК</t>
  </si>
  <si>
    <t>Категория</t>
  </si>
  <si>
    <t>Группа</t>
  </si>
  <si>
    <t>Долг без аван. и тек. плат</t>
  </si>
  <si>
    <t>Долг с перерас., без аван. и тек.</t>
  </si>
  <si>
    <t>Долг по усл. с дол.</t>
  </si>
  <si>
    <t>Долг по усл. с дол. с пер., без ав. и т</t>
  </si>
  <si>
    <t>Долг в прошлом периоде (2025-01-01)</t>
  </si>
  <si>
    <t>Услуга: Тех. обслуживание</t>
  </si>
  <si>
    <t>Услуга: ХВС</t>
  </si>
  <si>
    <t>Услуга: ГВС</t>
  </si>
  <si>
    <t>Услуга: ХВС для ГВС</t>
  </si>
  <si>
    <t>Услуга: Водоотведение</t>
  </si>
  <si>
    <t>Услуга: Отопление и энергосервис</t>
  </si>
  <si>
    <t>Услуга: Вывоз мусора (ТКО)</t>
  </si>
  <si>
    <t>Долговые платежи за 30 дней</t>
  </si>
  <si>
    <t>Платежи по текущим за 30 дней</t>
  </si>
  <si>
    <t>Дата последней оплаты</t>
  </si>
  <si>
    <t>Сумма последней оплаты</t>
  </si>
  <si>
    <t>Дата последнего комментария</t>
  </si>
  <si>
    <t>Последний комментарий</t>
  </si>
  <si>
    <t>Авиационная ул., дом 13</t>
  </si>
  <si>
    <t>46</t>
  </si>
  <si>
    <t>1</t>
  </si>
  <si>
    <t>2025-02-12</t>
  </si>
  <si>
    <t>Платит раз в 3 мес.</t>
  </si>
  <si>
    <t>Долг 2-3 мес.</t>
  </si>
  <si>
    <t>20.11.2024 подано в ФССП за период 01.04.2024 по 31.03.2024 на сумму 26095,79 руб., гп. 491,44 руб. на Крапивину М.Н., Крапивина М.Р. 2-1972/2024</t>
  </si>
  <si>
    <t>90</t>
  </si>
  <si>
    <t>2</t>
  </si>
  <si>
    <t>Платит каждый мес.</t>
  </si>
  <si>
    <t>Долг больше года.</t>
  </si>
  <si>
    <t>22.10.2024 подано в ФССП за период с 01.05.2024 по 30.06.2024 на сумму гп. 200,00 руб. на Бородина А.О., Бородина О.Р., Каплана А.О. 2-1885/2024</t>
  </si>
  <si>
    <t>Авиационная ул., дом 59</t>
  </si>
  <si>
    <t>69</t>
  </si>
  <si>
    <t>Платит неравномерно</t>
  </si>
  <si>
    <t>На Сергеев Павел Евгеньевич, с 01.03.2005 по 31.01.2021, на сумму 30590,67, гп. 858,86
Участок №150, Дата 19.02.2021г.</t>
  </si>
  <si>
    <t>77</t>
  </si>
  <si>
    <t>28.11.2024 подано в ФССП за период с 01.05.2024 по 30.06.2024 на сумму 19531,02 руб., гп. 390,62 руб. на Мохову Т.В.  № 2-1467/2024</t>
  </si>
  <si>
    <t>202</t>
  </si>
  <si>
    <t>Не платил 6 мес.</t>
  </si>
  <si>
    <t>08.08.2024 подано в 150 с/у за период: с 01.03.2024 по 30.06.2024 на 12803,53 руб., гп 256,07 руб. на Смирнов В.С.</t>
  </si>
  <si>
    <t>312</t>
  </si>
  <si>
    <t>3</t>
  </si>
  <si>
    <t>Долг 3-6 мес.</t>
  </si>
  <si>
    <t>330</t>
  </si>
  <si>
    <t>499</t>
  </si>
  <si>
    <t>5</t>
  </si>
  <si>
    <t>06.06.2024 подано в банк на сумму 123927,50, на  Василеву В.С, Васильева С.О., Васильева Е.С., Меньшерапову Ю.П., 2-572/2024</t>
  </si>
  <si>
    <t>502</t>
  </si>
  <si>
    <t>508</t>
  </si>
  <si>
    <t>Не платил 12 мес.</t>
  </si>
  <si>
    <t>24.11.2023 заключен договор о реструктуризации №115</t>
  </si>
  <si>
    <t>511</t>
  </si>
  <si>
    <t>Авиационная ул., дом 63</t>
  </si>
  <si>
    <t>103</t>
  </si>
  <si>
    <t>Выписка ЕГРН</t>
  </si>
  <si>
    <t>128</t>
  </si>
  <si>
    <t>Долг 9-12 мес.</t>
  </si>
  <si>
    <t>Решение Хорошевского районного суда от 18.04.24 (мотив. 10.05.24) о взыскании с учетом уточнения с Фиш В.В. и Фиш Л.И. пени в размере 2222,99 руб. и 1891,20 руб. г.п.</t>
  </si>
  <si>
    <t>157</t>
  </si>
  <si>
    <t>Долг 6-9 мес.</t>
  </si>
  <si>
    <t>02.07.2024 подано в 150 с/у за период с 01.04.2024 по 31.05.2024 на сумму 11246,02, гп. 224,92, на Смолина А.Е.</t>
  </si>
  <si>
    <t>215</t>
  </si>
  <si>
    <t>Не платил 3 мес.</t>
  </si>
  <si>
    <t>28.11.2024 подано в ФССП за период с 01.09.2023 по 31.01.2024 на сумму 46572,44 руб., гп. 798,59 руб. на Кулинбергову Ю.А., Лунину Н.Б. № 2-1487/2024</t>
  </si>
  <si>
    <t>284</t>
  </si>
  <si>
    <t>28.11.2024 подано в ФССП за период с 01.04.2021 по 31.01.2024 на сумму 164611,71 руб., гп. 2246,12 руб. на Трефилову Г.А., Шаламай В.А.  № 2-1486/2024</t>
  </si>
  <si>
    <t>290</t>
  </si>
  <si>
    <t>02.07.2024 подано в 150 с/у за период с 01.03.2024 по 30.04.2024 на сумму 14023,17, гп. 280,47, на Афанасьева Г.М., Рукину И.М.</t>
  </si>
  <si>
    <t>329</t>
  </si>
  <si>
    <t>26.02.2023 отзыв исполнительных документов из ФССП на Алборову Е.Р., Алборова М.Х., Орёл К.М.</t>
  </si>
  <si>
    <t>336</t>
  </si>
  <si>
    <t>Поступила оплата в сумме 98723,60 руб.</t>
  </si>
  <si>
    <t>364</t>
  </si>
  <si>
    <t>4</t>
  </si>
  <si>
    <t>30.08.2024 подано заявление в ПАО Сбербанк о возбуждении ИП в отношении Складчикова Р.В. на 15626,98 руб., гп 312,54 руб.</t>
  </si>
  <si>
    <t>375</t>
  </si>
  <si>
    <t>02.07.2024 подано в 150 с/у за период с 01.10.2023 по 31.05.2024 на сумму 11632,46, гп. 232,65 , на Кульневскую В.В, Кульневскую Л.А., Кульневского В.Л, Кульневского Г.В</t>
  </si>
  <si>
    <t>Авиационная ул., дом 63 к.2</t>
  </si>
  <si>
    <t>40</t>
  </si>
  <si>
    <t>19.07.2024 подано в 150 с/у за период с 01.04.2024 по 30.06.2024 на 9946.80 руб., гп 200.00 руб., на Болкунов А.Л., Дигуров А.М.</t>
  </si>
  <si>
    <t>44</t>
  </si>
  <si>
    <t>57</t>
  </si>
  <si>
    <t>19.04.2024 подано в ФССП на Дугина А.Н., Миркину С.В., Миркина Н.А.за период с 01.03.2023 по 30.11.2023 на 7787,43 руб., гп. 200,00 руб.</t>
  </si>
  <si>
    <t>62</t>
  </si>
  <si>
    <t>Определение об отмене судебного приказа № 2-1554/150/2023 от 10.10.2024, с 01.04.2023-30.09.2023, на сумму 36540,65, гос.пошлина 648,11</t>
  </si>
  <si>
    <t>75</t>
  </si>
  <si>
    <t>Судебный приказ на Кульпину О.А. 2-1432/2024</t>
  </si>
  <si>
    <t>Авиационная ул., дом 65 к.2</t>
  </si>
  <si>
    <t>33</t>
  </si>
  <si>
    <t>08.08.2024 подано в 150 с/у за период: с 01.05.2024 по 31.05.2024 на 11424,43 руб., гп 228,49 руб. на Моисеева А.С., Рощину О.В.</t>
  </si>
  <si>
    <t>Авиационная ул., дом 65 к.3</t>
  </si>
  <si>
    <t>14</t>
  </si>
  <si>
    <t>Собственник без регистрации, проживает по адресу: г. Москва, Химкинский бульвар, д.15, корп.1, кв. 279</t>
  </si>
  <si>
    <t>15</t>
  </si>
  <si>
    <t>19.04.2024 подано в ФССП на Белоусова Н.М. за период с 01.06.2023 по 31.10.2023 на 15588,09 руб. и гп. 311,76 руб.</t>
  </si>
  <si>
    <t>Авиационная ул., дом 66</t>
  </si>
  <si>
    <t>27</t>
  </si>
  <si>
    <t>19.07.2024 подано в 150 с/у за период с 01.12.2023 по 30.04.2024 на 29677.87 руб., гп 545.17 руб., на Привалова Т.А.</t>
  </si>
  <si>
    <t>29</t>
  </si>
  <si>
    <t>34</t>
  </si>
  <si>
    <t>поступила оплата в сумме 20 тыс. руб.</t>
  </si>
  <si>
    <t>66</t>
  </si>
  <si>
    <t>19.07.2024 подано в 150 с/у за период с 01.02.2024 по 30.06.2024 на 12565.21 руб., гп 251.31 руб., на Прохорчева Л.В., Прохорчев Н.П.</t>
  </si>
  <si>
    <t>123</t>
  </si>
  <si>
    <t>140</t>
  </si>
  <si>
    <t>146</t>
  </si>
  <si>
    <t>На Давыдов Евгений Эрикович, с 01.06.2004 по 31.05.2021, на сумму 8248,97, гп. 200</t>
  </si>
  <si>
    <t>209</t>
  </si>
  <si>
    <t>ДГИ проводит мероприятия по переводу в собственность города.</t>
  </si>
  <si>
    <t>249</t>
  </si>
  <si>
    <t>258</t>
  </si>
  <si>
    <t>286</t>
  </si>
  <si>
    <t>19.07.2024 подано в 150 с/у за период с 01.01.2024 по 30.06.2024 на 13531.63 руб., гп 270.63 руб., на Зубкова А.В., Зубков С.П.</t>
  </si>
  <si>
    <t>288</t>
  </si>
  <si>
    <t>333</t>
  </si>
  <si>
    <t>Определение об отмене судебного приказа № 2-1498/2024 от 04.09.2024, за период с 01.05.2024 по 30.06.2024 в размере 22990,93, гос.пошлина 444,87</t>
  </si>
  <si>
    <t>Авиационная ул., дом 67 к.1</t>
  </si>
  <si>
    <t>71</t>
  </si>
  <si>
    <t>Поступила оплата в сумме 27741,52 руб.</t>
  </si>
  <si>
    <t>Авиационная ул., дом 68</t>
  </si>
  <si>
    <t>8</t>
  </si>
  <si>
    <t>выписка егрн</t>
  </si>
  <si>
    <t>63</t>
  </si>
  <si>
    <t>08.08.2024 подано в 150 с/у за период: с 01.05.2024 по 30.06.2024 на 7706,48 руб., гп 200 руб. на Иванову Л.А.</t>
  </si>
  <si>
    <t>65</t>
  </si>
  <si>
    <t>Поступила оплата по договору реструктуризации № 16 в размере 7000 руб.</t>
  </si>
  <si>
    <t>144</t>
  </si>
  <si>
    <t>19.07.2024 подано в 150 с/у за период с 01.05.2024 по 30.06.2024 на 9015.15 руб., гп 200.00 руб., на Короткова А.П., Кулешов И.В.</t>
  </si>
  <si>
    <t>196</t>
  </si>
  <si>
    <t>6</t>
  </si>
  <si>
    <t>31.05.2024 подано в банк на сумму 46667,99, на Киселев Е.И.,2-556/2024</t>
  </si>
  <si>
    <t>233</t>
  </si>
  <si>
    <t>7</t>
  </si>
  <si>
    <t>04.07.2024 подано в 150 с/у за период с 01.11.2023 по 31.05.2024 на 17381,50 руб., гп. 347,63 руб., на Агурееву Е.А., Агуреева П.С.</t>
  </si>
  <si>
    <t>252</t>
  </si>
  <si>
    <t>Платит раз в 6 мес.</t>
  </si>
  <si>
    <t>08.08.2024 подано в 150 с/у за период: с 01.06.2024 по 30.06.2024 на 5928,32 руб., гп 200 руб. на Соколову Н.А.</t>
  </si>
  <si>
    <t>285</t>
  </si>
  <si>
    <t>23.03.2022 подано в с/у 150 за период с 01.06.2004 по 31.01.2022 на сумму 23514,13 руб.,гп.452,71 руб. на Гришина В.В.</t>
  </si>
  <si>
    <t>298</t>
  </si>
  <si>
    <t>9</t>
  </si>
  <si>
    <t>31.05.2024 подано в банк на сумму 648,92, на Косилову М.Г., Лукину Т.А., Симонову Н.Г., 2-557/2024</t>
  </si>
  <si>
    <t>318</t>
  </si>
  <si>
    <t>13.10.2023 подано в ФССП за период с 01.04.2022 по 28.02.2023 на сумму 26659,23 руб., гп. 499,89 руб. на Титову В.С., Титова А.С., Титова В.С., Титова М.А. 2-997/23</t>
  </si>
  <si>
    <t>326</t>
  </si>
  <si>
    <t>10</t>
  </si>
  <si>
    <t>Судебный приказ на  Смирнова А.А., 2-536/2024</t>
  </si>
  <si>
    <t>заключен договор ретсруктуризации № 84 до 20.01.2025</t>
  </si>
  <si>
    <t>332</t>
  </si>
  <si>
    <t>Судебный приказ на Налбандян С.А. 2-1300/2024</t>
  </si>
  <si>
    <t>349</t>
  </si>
  <si>
    <t>19.07.2024 подано в 150 с/у за период с 01.02.2024 по 30.06.2024 на 17661.23 руб., гп 353.23 руб., на Волков К.Ф., Малышева Т.В.</t>
  </si>
  <si>
    <t>362</t>
  </si>
  <si>
    <t>11</t>
  </si>
  <si>
    <t>08.08.2024 подано в 150 с/у за период: с 01.05.2024 по 30.06.2024 нп 6466,94 руб., гп 200 руб на Чиркову Т.Н.</t>
  </si>
  <si>
    <t>385</t>
  </si>
  <si>
    <t>08.08.2024 подано в 150 с/у за период: с 01.05.2024 по 30.06.2024 на 12589,90 руб, гп 251,80 руб. на Серову Е.И.</t>
  </si>
  <si>
    <t>398</t>
  </si>
  <si>
    <t>12</t>
  </si>
  <si>
    <t>19.07.2024 подано в 150 с/у за период с 01.03.2024 по 30.06.2024 на 18818.60 руб., гп 376.37 руб., на Сакун Д.Р.</t>
  </si>
  <si>
    <t>408</t>
  </si>
  <si>
    <t>19.07.2024 подано в 150 с/у за период с 01.04.2024 по 30.06.2024 на 20817.24 руб., гп 412.26 руб., на Гапонов А.А., Короткина Е.А., Тория И.Т.</t>
  </si>
  <si>
    <t>409</t>
  </si>
  <si>
    <t>427</t>
  </si>
  <si>
    <t>Оплатили госпошлину, приставу судебный приказ не направлять</t>
  </si>
  <si>
    <t>440</t>
  </si>
  <si>
    <t>13</t>
  </si>
  <si>
    <t>23.03.2022 подано в с/у 150 за период с 01.06.2004 по 31.01.2022 на сумму 21459,80 руб.,гп.421,90 руб. на Савельева С.В.</t>
  </si>
  <si>
    <t>457</t>
  </si>
  <si>
    <t>19.07.2024 подано в 150 с/у за период с 01.01.2024 по 30.06.2024 на 11074.83 руб., гп 221.50 руб., на Киселева Е.С.</t>
  </si>
  <si>
    <t>465</t>
  </si>
  <si>
    <t>определение об отмене судебного Приказа № 02-2131/151/2024 от 18.11.2024за период 01.05.2024 по 30.09.2024, 31684,94, госпошлина 2000,00.</t>
  </si>
  <si>
    <t>469</t>
  </si>
  <si>
    <t>Определение об отмене судебного приказа № 2-1326/2024 от 03.09.2024, за период с 01.05.2024 по 30.06.2024 в размере 20320,81, гос.пошлина 404,81.</t>
  </si>
  <si>
    <t>476</t>
  </si>
  <si>
    <t>489</t>
  </si>
  <si>
    <t>528</t>
  </si>
  <si>
    <t>27.05.2024 подано в банк на сумму 30062,58, на Русакова А.Е., Фурман Л.Н., 2-537/2024</t>
  </si>
  <si>
    <t>537</t>
  </si>
  <si>
    <t>12.07.2024 подано в 150 с/у за период с 01.10.2021 по 31.05.2022 на сумму 6288,95 руб., гп 200,00 руб. на Кулястову О.в., Лопату И.Б., Шарипову Н.В., Шарипова С.И.</t>
  </si>
  <si>
    <t>Авиационная ул., дом 70 к.2</t>
  </si>
  <si>
    <t>На Щеглов Дмитрий Владимирович, с 01.04.2019 по 31.05.2021, на сумму 1280,36, гп. 200</t>
  </si>
  <si>
    <t>19.07.2024 подано в 150 с/у за период с 01.03.2024 по 30.06.2024 на 15369.75 руб., гп 307.40 руб., на Сушков А.Ю., Сушкова Т.И.</t>
  </si>
  <si>
    <t>74</t>
  </si>
  <si>
    <t>76</t>
  </si>
  <si>
    <t>На Архипов Вячеслав Юрьевич, с 01.06.2004 по 28.02.2021, на сумму 19150,08, гп. 383
Участок №150, Дата 18.03.2021г.</t>
  </si>
  <si>
    <t>Авиационная ул., дом 70 к.3</t>
  </si>
  <si>
    <t>25</t>
  </si>
  <si>
    <t>19.07.2024 подано в 150 с/у за период с 01.04.2024 по 30.06.2024 на 14946.47 руб., гп 298.93 руб., на Руденко Д.С.</t>
  </si>
  <si>
    <t>08.08.2024 подано в 150 с/у за период: с 01.05.2024 по 30.06.2024 на 9072,68 руб., гп 200 руб. на Алтаева Д.Ф., Алтаева Ф.С.,</t>
  </si>
  <si>
    <t>50</t>
  </si>
  <si>
    <t>20.05.2024 подано в Сбербанк за период с 01.01.2023 по 31.12.2023 на 66684,75 руб., г.п. 1100,27 руб. на Нурмухаметова В.Н.</t>
  </si>
  <si>
    <t>08.08.2024 подано в 150 с/у за период: с 01.05.2024 по 30.06.2024 на 6896, 42 руб. гп 200,00 руб. на Лапшина В.Ю.</t>
  </si>
  <si>
    <t>30.05.2024 подано заявление в ФССП на Панова А.Д. за период с 01.03.22 по 31.12.2022 на сумму 
101 398,10 долга, 5487,32 пени и 3227,96 г.п.</t>
  </si>
  <si>
    <t>Авиационная ул., дом 70 к.4</t>
  </si>
  <si>
    <t>Поступила оплата по договору № 4 в сумме 30304,40 руб.</t>
  </si>
  <si>
    <t>68</t>
  </si>
  <si>
    <t>Определения об отмене судебного приказа № 2-1536/2024 от 04.09.2024 за период 01.08.2023 по 31.12.2023 в размере 25060,31, гос.пошлина 475,91</t>
  </si>
  <si>
    <t>Авиационная ул., дом 72 к.1</t>
  </si>
  <si>
    <t>заключен договор реструктуризации долга № 47. Первоначальный взнос 20 тыс.руб.  Окончание срока договора 26.06.2025. Ежемесячный платеж 7022 руб.</t>
  </si>
  <si>
    <t>70</t>
  </si>
  <si>
    <t>Поступила оплата в  сумме 27091,39 руб.</t>
  </si>
  <si>
    <t>02.07.2024 подано в 150 с/у за период с 01.10.2023 по 31.05.2024 на сумму 28925,71, гп. 533,89, на Балашов Д.А.</t>
  </si>
  <si>
    <t>94</t>
  </si>
  <si>
    <t>Авиационная ул., дом 72 к.2</t>
  </si>
  <si>
    <t>на приеме Ленченко Г.Р. оплатит за 3 мес. долга остальные квитанции в следующем месяце</t>
  </si>
  <si>
    <t>19.01.2024 подано в ФССП за период с 01.01.2020 по 31.08.2023 на 127685,90 руб., гп. 1876,86 руб. на Донцова Ю.М.</t>
  </si>
  <si>
    <t>Списание долга в Сбербанке на сумму 16450,27 руб.</t>
  </si>
  <si>
    <t>106</t>
  </si>
  <si>
    <t>27.02.2023 подано в 150 с/у на Тимофееву Е.В., Тимофееву Л.Г., Тимофеева В.А. за период с 01.07.2014-30.09.2020 на сумму 43 520,13 и 752,80 гп</t>
  </si>
  <si>
    <t>163</t>
  </si>
  <si>
    <t>166</t>
  </si>
  <si>
    <t>Авиационная ул., дом 74 к.1</t>
  </si>
  <si>
    <t>73</t>
  </si>
  <si>
    <t>Авиационная ул., дом 74 к.2</t>
  </si>
  <si>
    <t>Поступила оплата 1 тыс. руб.</t>
  </si>
  <si>
    <t>26</t>
  </si>
  <si>
    <t>Еремеева Оксана Васильевна снята с регистрационного учета</t>
  </si>
  <si>
    <t>35</t>
  </si>
  <si>
    <t>07.09.2023 подано в ФССП на Хвесюк Е.В. за период с 01.03.2021 по 30.04.2023 на сумму 49053,94 руб., гп. 835,81 руб.</t>
  </si>
  <si>
    <t>39</t>
  </si>
  <si>
    <t>12.07.2024 подано в 150 с/у за период с 01.10.2022 по 31.10.2023 на сумму 3107,66 руб. гп 200,00 на Кузнецова А.В.</t>
  </si>
  <si>
    <t>08.08.2024 подано в 150 с/у за период: с 01.05.2024 по 31.05.2024 на 7119,61, гп 200 руб. на Скворцову Т.С.</t>
  </si>
  <si>
    <t>Авиационная ул., дом 74 к.3</t>
  </si>
  <si>
    <t>Определение об отмене судебного приказа № 2-1397/2024 от 28.08.2024, за период 01.11.2023 по 31.05.2024, на  сумму 37867,55, гос.пошлина 668,02.</t>
  </si>
  <si>
    <t>19.07.2024 подано в 150 с/у за период с 01.04.2024 по 30.06.2024 на 13144.72 руб., гп 262.90 руб., на Воронежская Я.Б., Земскова Т.А.</t>
  </si>
  <si>
    <t>20.05.2024 подано в Сбербанк за период с 01.08.2023 по 31.12.2023 на 32810,72 руб., г.п. 592,16 руб. на Гусеву М.М., Козловского В.В.</t>
  </si>
  <si>
    <t>20.05.2024 подано в Сбербанк за период с 01.08.2023 по 31.12.2023 на 27793,66 руб., г.п. 516,91 руб. на Таирова С.Ю.</t>
  </si>
  <si>
    <t>81</t>
  </si>
  <si>
    <t>20.05.2024 подано в Сбербанк за период с 01.12.2023 по 31.12.2023 на 14331,65 руб., г.п. 286,64 руб. на Ногину Д.В.</t>
  </si>
  <si>
    <t>Авиационная ул., дом 74 к.4</t>
  </si>
  <si>
    <t>60</t>
  </si>
  <si>
    <t>20.05.2024 подано в Сбербанк за период с 01.08.2023 по 31.12.2023 на 44509,90 руб., г.п. 767,65 руб. на Зимичеву В.Н.. Зиновьева А.В., Широкова С.Е.</t>
  </si>
  <si>
    <t>20.05.2024 подано в Сбербанк за период с 01.08.2023 по 31.12.2023 на 43570,24 руб., г.п. 753,56 руб. на Лапшину С.А.</t>
  </si>
  <si>
    <t>67</t>
  </si>
  <si>
    <t>29.10.2024 подано заявление в ФССП России об отзыве с ИП ИД 2-766/2023 в отношении Сивцовой Н.В.</t>
  </si>
  <si>
    <t>84</t>
  </si>
  <si>
    <t>Берзарина ул., дом 4</t>
  </si>
  <si>
    <t>41</t>
  </si>
  <si>
    <t>17.01.2024 подан с/п в Сбербанк на Тур А.Н., Тур Л.А., Тур О.Ю. 2-0857/427/2023</t>
  </si>
  <si>
    <t>49</t>
  </si>
  <si>
    <t>Берзарина ул., дом 6 к.1</t>
  </si>
  <si>
    <t>04.07.2024 подано в 427 с/у за период с 01.10.2023 по 31.03.2024 на 10947.68.,гп 218.96., на Колесникову.С.В</t>
  </si>
  <si>
    <t>19.07.2024 подано в 427 с/у за период с 01.02.2024 по 30.06.2024 на 20792.82 руб., гп 411.89 руб., на Московкин Ф.В.</t>
  </si>
  <si>
    <t>Судебный приказ на Васина П.В. 2-0962/2024</t>
  </si>
  <si>
    <t>Судебный приказ на Мишачёва В.И. 2-947\22</t>
  </si>
  <si>
    <t>09.08.2024 подано в 427 с/у за период: с 01.05.2024 по 31.05.2024 на 3925,86 руб., гп 200 руб. на Кудряшова А.В.</t>
  </si>
  <si>
    <t>08.08.2024 подано в 427 с/у за период: с 01.05.2024 по 30.06.2024 на 13672,64 руб., гп 273,46 руб. на Кадурина А.В.</t>
  </si>
  <si>
    <t>Судебный приказ на Марданова В.Г., Марданова Р.В., Марданова Т.В. 2-0428/2024</t>
  </si>
  <si>
    <t>20.11.2024 подано в ФССП за период с 01.09.2022 по 30.11.2023 на сумму 37474,63 руб., гп. 662,12 руб. на Астанина А.Н. 2-0420/2024</t>
  </si>
  <si>
    <t>04.07.2024 подан в 427 с/у за период с 01.12.2017 по 30.09.2022 на 16518,20 руб., гп 330,37 руб., на Болдырева А.Н.</t>
  </si>
  <si>
    <t>20.11.2024 подано в ФССП за период с 01.03.2023 по 30.11.2023 на сумму 36464,39 руб., гп. 646,97 руб. на Овчинникова В.В. 2-0419/2024</t>
  </si>
  <si>
    <t>04.07.2024 подан в 427 с/у за период с 01.08.2023 по 31.05.2024 на 23898,87 руб., гп 458,49 руб., на Пешехонцеву . А. В. , Пешехонцев В. В.</t>
  </si>
  <si>
    <t>19.07.2024 подано в 427 с/у за период с 01.12.2023 по 31.05.2024 на сумму 10921,60 руб., гп 218,43 руб., на ГахрамановА И.Г.</t>
  </si>
  <si>
    <t>Берзарина ул., дом 10</t>
  </si>
  <si>
    <t>Берзарина ул., дом 10 к.2</t>
  </si>
  <si>
    <t>Судебный приказ на Оболенскую И.А.,Оболенского А.В. 2-0732/2024</t>
  </si>
  <si>
    <t>Берзарина ул., дом 14</t>
  </si>
  <si>
    <t>20.11.2024 подано в ФССП за период с 01.09.2022 по 30.11.2023 на сумму 13111,83 руб., гп. 262,24 руб. на Венникова С.С. 2-0418/2024</t>
  </si>
  <si>
    <t>04.07.2024 подан в 427 с/у за период с 01.12.2023 по 31.05.2024 на 9586,71 руб., гп 200 руб., на Адаева М.Т</t>
  </si>
  <si>
    <t>04.07.2024 подано в 427 с/у за период с 01.08.2023 по 31.05.2024 на 16814,01 рублей., гп 336,28 рублей., на Мамардашвили С.В., Мамардашвили Э.В.</t>
  </si>
  <si>
    <t>08.08.2024 подано в 427 с/у за период: с 01.05.2024 по 30.06.2024 на 4633,67 руб., гп 200,00 руб. на Буденного В.Л.</t>
  </si>
  <si>
    <t>02.08.2024 подано в 427 с/у за период: с 01.02.2024 по 30.06.2024 на 12521,03 руб., гп 250,42 руб. на Фомину Е.А.</t>
  </si>
  <si>
    <t>08.08.2024 подано в 427 с/у за период: с 01.05.2024 по 30.06.2024 на 8231,34 руб., гп 200 руб. на Савельеву А.М., Филатова М.А., Филатова М.М.</t>
  </si>
  <si>
    <t>Берзарина ул., дом 16</t>
  </si>
  <si>
    <t>29.02.2024 подано в 427 с/у за период с 01.08.2023 по 31.01.2024 на 32504,56 руб., г.п. 587,57 руб. на Бурдову Е.В., Бурдова А.Ю., Бурдова А.Ю.</t>
  </si>
  <si>
    <t>Берзарина ул., дом 22</t>
  </si>
  <si>
    <t>Судебный приказ на Трофимову А.А., Трофимову Е.Ю. 2-1316/2024</t>
  </si>
  <si>
    <t>06.11.2024 подано в ФССП за период с 01.05.2024 по 30.06.2024 на сумму 4030,48 руб., гп. 200,00 руб. на Владимирцева В.А. № 2-1530/2024</t>
  </si>
  <si>
    <t>30.05.2024 подано в ФССП за период с 01.08.2023 по 31.12.2023 на 35578,43 руб., г.п. 633,68 руб. на Шпилевского Д.А.</t>
  </si>
  <si>
    <t>Берзарина ул., дом 26</t>
  </si>
  <si>
    <t>11.08.2022 подано в ФССП на Котельников А.П., Котельников А.А. на 51 233,07 руб., гп. 868,50 руб. 2-528/22</t>
  </si>
  <si>
    <t>30</t>
  </si>
  <si>
    <t>45</t>
  </si>
  <si>
    <t>09.11.2023 подано в ФССП за период с 01.04.2023 по 31.05.2023 на 23671.96 руб., гп 455.08 руб., на Гринев С.В.</t>
  </si>
  <si>
    <t>51</t>
  </si>
  <si>
    <t>29.09.2023 подано в ФССП за период с 01.04.2021 по 31.05.2023 на сумму 4476,53 руб., гп. 268,14 руб., на Бигуна В.Л. 2-1012/151/2023</t>
  </si>
  <si>
    <t>55</t>
  </si>
  <si>
    <t>19.12.2022 заключен договор реструктуризации № 106</t>
  </si>
  <si>
    <t>Бирюзова маршала ул., дом 2</t>
  </si>
  <si>
    <t>24</t>
  </si>
  <si>
    <t>долг за кап ремонт</t>
  </si>
  <si>
    <t>15.07.2024 подан в 152 с/у за период с 01.01.2022 по 31.01.2022 на 255,21 руб., гп 200 руб., на Карпову Г.Л. , Лебедева А. И. , Лебедева Л. И.</t>
  </si>
  <si>
    <t>Судебный приказ на Григорьева А.А. № 2-2601/152/2024</t>
  </si>
  <si>
    <t>Бирюзова маршала ул., дом 3</t>
  </si>
  <si>
    <t>Представитель собственника Трофимовой Людмилы Алексеевны по доверенности Трофимов Дмитрий Александрович, тел.: 8-916-156-00-88</t>
  </si>
  <si>
    <t>42</t>
  </si>
  <si>
    <t>04.07.2024 подано в 427 с/у за период с 01.11.2023 по 30.11.2023 на 5204,17 руб., гп. 200 руб., на Жучкову Т.И.</t>
  </si>
  <si>
    <t>Бирюзова маршала ул., дом 4 к.1</t>
  </si>
  <si>
    <t>20</t>
  </si>
  <si>
    <t>20.11.2024 подано в ФССП за период 01.05.2024 по 31.05.2024 на сумму 11994,71 руб., гп. 239,90 руб. на Демидову Д.В., Демидову Е.А. 2-1736/2024</t>
  </si>
  <si>
    <t>80</t>
  </si>
  <si>
    <t>113</t>
  </si>
  <si>
    <t>Судебный приказ № 2-1723/152/2024 на Белову С.Н.</t>
  </si>
  <si>
    <t>Бирюзова маршала ул., дом 4 к.2</t>
  </si>
  <si>
    <t>171</t>
  </si>
  <si>
    <t>21.06.2024 подано в 152 с/у за период с 01.03.2024 по 31.05.2024 на 14091.30 руб., гп 281.83 руб., на Шабад Г.А., Шабад К.Г.</t>
  </si>
  <si>
    <t>185</t>
  </si>
  <si>
    <t>Судебный приказ на Маликова Д.Г., Маликову А.В. 2-1005_2022</t>
  </si>
  <si>
    <t>Бирюзова маршала ул., дом 7</t>
  </si>
  <si>
    <t>Судебный приказ на Рассказова В.А. 2-1025/2024</t>
  </si>
  <si>
    <t>Бирюзова маршала ул., дом 8 к.1</t>
  </si>
  <si>
    <t>18</t>
  </si>
  <si>
    <t>Судебный приказ № 2-2059/152/2024 на Шинкевич М.С.</t>
  </si>
  <si>
    <t>21</t>
  </si>
  <si>
    <t>21.06.2024 подано в 152 с/у за период: с 01.12.2023 по 31.05.2024 на 31968,64 руб., гп 579,53 руб. на Кикава В.И.</t>
  </si>
  <si>
    <t>54</t>
  </si>
  <si>
    <t>06.12.2024 подано в ФССП за период с 01.11.2022 по 30.11.2023 на сумму 19187,15 руб., гп. 383,75 руб. на Алиеву З.Д., Ховренкову Е.С. 2-1808/152/2024</t>
  </si>
  <si>
    <t>78</t>
  </si>
  <si>
    <t>Судебный приказ на Григорьева А.Ю., Григорьева П.Д. 2-2419/2024</t>
  </si>
  <si>
    <t>122</t>
  </si>
  <si>
    <t>Бирюзова маршала ул., дом 8 к.3</t>
  </si>
  <si>
    <t>235</t>
  </si>
  <si>
    <t>19.07.2024 подан в 152 с/у за период с 01.06.2024 по 30.06.2024 на 489,39 руб., гп 200 руб., на Емельянову О. В. , Мезенцева С. И.</t>
  </si>
  <si>
    <t>245</t>
  </si>
  <si>
    <t>250</t>
  </si>
  <si>
    <t>266</t>
  </si>
  <si>
    <t>22.10.2024 подано в ФССП за период с 01.11.2023 по 30.11.2023 на сумму 255,85 руб., гп. 200,00 руб. на Кирова С.М. 2-1889/2024</t>
  </si>
  <si>
    <t>270</t>
  </si>
  <si>
    <t>Бирюзова маршала ул., дом 8 к.4</t>
  </si>
  <si>
    <t>Бирюзова маршала ул., дом 9</t>
  </si>
  <si>
    <t>Судебный приказ на Максимочев А.Ю. 2-272/22</t>
  </si>
  <si>
    <t>26.07.2024 подано в ФССП за период с 01.03.2023 по 31.12.2023 на сумму 61098,45 руб., гп. 1016,48 руб. на Камнева Д.Е. №  02-0268/427/2024</t>
  </si>
  <si>
    <t>Судебный приказ на Половинко Л.Г. 2-0730/2024</t>
  </si>
  <si>
    <t>Бирюзова маршала ул., дом 10 к.1</t>
  </si>
  <si>
    <t>Заключен договор реструктуризации долга № 4. Окончание срока 15.04.2025. Ежемесячный платеж 7255,67 руб.</t>
  </si>
  <si>
    <t>12.12.2024 подано в ФССП за период с 01.06.2024 по 30.06.2024 на сумму 5173,38 руб., гп. 200,00 руб. на Имамович Н.П. 2-1707/2024</t>
  </si>
  <si>
    <t>Бирюзова маршала ул., дом 10 к.2</t>
  </si>
  <si>
    <t>58</t>
  </si>
  <si>
    <t>Судебный приказ № 2-1717/152/2024 на Яковлева С.В.</t>
  </si>
  <si>
    <t>Бирюзова маршала ул., дом 11</t>
  </si>
  <si>
    <t>18.04.2024 Заключен договор о реструктуризации №25 на сумму 29103,36</t>
  </si>
  <si>
    <t>101</t>
  </si>
  <si>
    <t>Согласно свидетельства о праве собственности новый собственник Лапаева Марина Михайловна, тел.: 8-926-668-93-57</t>
  </si>
  <si>
    <t>Бирюзова маршала ул., дом 12</t>
  </si>
  <si>
    <t>Судебный приказ на Меньшикову Е.В. 2-2496/2024</t>
  </si>
  <si>
    <t>28.11.2024 подано в ФССП за период с 01.06.2024 по 30.06.2024 на сумму 3270,50 руб., гп. 200,00 руб. на Султанова А.А., Султанова К.А. № 2-1729/152/2024</t>
  </si>
  <si>
    <t>53</t>
  </si>
  <si>
    <t>09.02.2022 подано в 152 с/у за период с 01.06.2004 по 31.12.2021 на сумму 15961,70руб., гп.319,23 руб. на Мальцева И.В.,Перфилову И.В..,</t>
  </si>
  <si>
    <t>Бирюзова маршала ул., дом 13</t>
  </si>
  <si>
    <t>28.07.2023 подано в 427 с/у за период с 01.04.2023 по 30.06.2023 на 16094,02 руб., гп. 321,88 руб., на Рузову Т.С.</t>
  </si>
  <si>
    <t>Заключен договор реструктуризации долга № 63. Первоначальный взнос 33000 руб. Окончание срока 11.01.2026 Ежемесячный платеж 6508,25 руб.</t>
  </si>
  <si>
    <t>29.02.2024 подано в 427 с/у за период с 01.08.2023 по 31.01.2024 на 40684,01 руб., г.п. 710,26 руб. на Шестов А.В.</t>
  </si>
  <si>
    <t>14.03.2023 подано в ФССП за период с 01.10.2021 по 31.08.2022 на сумму 53962,97 руб., гп. 909,44 руб. на Левченко Н.И. 2-0940/2022</t>
  </si>
  <si>
    <t>24.03.2023 подано в 427 с/у на Джамалутдинову А.М. за период с 01.02.2022-28.02.2023 на сумму 54294,93 и 914,43 гп</t>
  </si>
  <si>
    <t>47</t>
  </si>
  <si>
    <t>05.11.22 должны подойти для заключения договора реструктуризации.</t>
  </si>
  <si>
    <t>61</t>
  </si>
  <si>
    <t>27.10.2023 подано в ФССП за период с 01.12.2022 по 31.05.2023 на 6102,99 руб., гп 297.28 руб. на Староверова А.Е.</t>
  </si>
  <si>
    <t>поступила оплата по договору о реструктуризации долга № 23 в сумме 4902,54 руб.</t>
  </si>
  <si>
    <t>Судебный приказ на  Ефимову И.Г., Ефимова Л.Л., Кадыкову Л.Л., Масликову А.Л. 2-0731/2024</t>
  </si>
  <si>
    <t>Бирюзова маршала ул., дом 14</t>
  </si>
  <si>
    <t>56</t>
  </si>
  <si>
    <t>Судебный приказ № 2-2056/152/2024 на Ширшина И.В.</t>
  </si>
  <si>
    <t>Бирюзова маршала ул., дом 16</t>
  </si>
  <si>
    <t>Судебный приказ на Зулумян А.К., Караханян М.В., Мовсесян А.А., Нерсисян Б.С., Нерсисян Т.С., Саргсян Р.В., Ханоян О.Э. 2-2421/2024</t>
  </si>
  <si>
    <t>Бирюзова маршала ул., дом 17</t>
  </si>
  <si>
    <t>16</t>
  </si>
  <si>
    <t>28.11.2024 подано в ФССП за период с 01.09.2022 по 30.11.2023 на сумму 82402,72 руб., гп. 1336,04 руб. на Куликова В.В.  № 02-0422/427/2024</t>
  </si>
  <si>
    <t>99</t>
  </si>
  <si>
    <t>104</t>
  </si>
  <si>
    <t>04.10.2023 заключен договор реструктуризации № 99 сроком до 20.04.2024</t>
  </si>
  <si>
    <t>Бирюзова маршала ул., дом 18</t>
  </si>
  <si>
    <t>18.10.2024 подано в ФССП за период с 01.06.2023 по 31.05.2024 на сумму 3121,25 руб., гп. 200,00 руб. на Азанова А.А., Степанову Н.А.  2-1984/2024</t>
  </si>
  <si>
    <t>12.12.2024 подано в ФССП за период с 01.05.2024 по 30.06.2024 на сумму 15639,20 руб., гп. 312,79 руб. на Комаровскую Е.Г., Комаровскую Т.В. № 2-1694/152/2024</t>
  </si>
  <si>
    <t>Судебный приказ № 2-2060/152/2024 на Баткина Е.В., Ондар С.А.</t>
  </si>
  <si>
    <t>Бирюзова маршала ул., дом 19</t>
  </si>
  <si>
    <t>32</t>
  </si>
  <si>
    <t>22.11.2022 подано в 427 с/у за период с 01.09.2021 по 31.08.2022 на сумму 4819,84 руб. и 200 гп на Дергач Л.И.</t>
  </si>
  <si>
    <t>48</t>
  </si>
  <si>
    <t>20.11.2024 подано в ФССП за период с 01.09.2022 по 30.11.2023 на сумму 31701,24 руб., гп. 575,52 руб. на Ананова А.Р., Ананова А.В. 2-0421/2024</t>
  </si>
  <si>
    <t>02.02.2023 заключен договор реструктуризации № 27</t>
  </si>
  <si>
    <t>Бирюзова маршала ул., дом 20 к.1</t>
  </si>
  <si>
    <t>Бирюзова маршала ул., дом 20 к.2</t>
  </si>
  <si>
    <t>Исполнение в полном объеме</t>
  </si>
  <si>
    <t>Судебный приказ от 12.09.2024 № 2-2054/152/2024 на Емельянову Н.С., Емельянова С.А., Мора К.Г., Пронюк Е.А.</t>
  </si>
  <si>
    <t>23.10.2024 подано заявление о возбуждении ИП в ФССП России за период: с 01.11.2023 по 31.05.2024 на сумму долга 14722,78 руб., гп 294,46 руб. в отношении Басовой И.С.</t>
  </si>
  <si>
    <t>Бирюзова маршала ул., дом 22 к.1</t>
  </si>
  <si>
    <t>17</t>
  </si>
  <si>
    <t>Бирюзова маршала ул., дом 22 к.2</t>
  </si>
  <si>
    <t>Бирюзова маршала ул., дом 22 к.3</t>
  </si>
  <si>
    <t>89</t>
  </si>
  <si>
    <t>108</t>
  </si>
  <si>
    <t>Щеглова Е.В. признана банкротом</t>
  </si>
  <si>
    <t>Бирюзова маршала ул., дом 23</t>
  </si>
  <si>
    <t>Со слов соседки - Глот Николай умер.</t>
  </si>
  <si>
    <t>Бирюзова маршала ул., дом 24</t>
  </si>
  <si>
    <t>26.06.2024 подано в 152 с/у за период с 01.05.2024 по 30.06.2024 на 8073.38 руб., гп 200.00 руб., на Супрунова О.С., Супрунов Д.В.</t>
  </si>
  <si>
    <t>Судебный приказ на Горлычева М.В., Придиус О.В. 2-2422/2024</t>
  </si>
  <si>
    <t>17.03.2023 подано в ФССП за период с 01.02.2021-31.08.2022 на сумму 53 786,90 и 906,81 га на Лукьянова М.Ю. 2-1198/152/2022</t>
  </si>
  <si>
    <t>37</t>
  </si>
  <si>
    <t>Судебный приказ Алдошину Д.В., Алдошину И.Д. 2-404/23</t>
  </si>
  <si>
    <t>Бирюзова маршала ул., дом 26</t>
  </si>
  <si>
    <t>20.11.2024 подано в ФССП за период с 01.06.2024 по 30.06.2024 на сумму 3685,57 руб., гп. 200,00 руб. на Трейгер Л.А.   № 2-2008/152/2024</t>
  </si>
  <si>
    <t>26.06.2024 подано в 152 с/у за период с 01.04.2024 по 30.06.2024 на 11193.28 руб., гп 223.87 руб., на Щербина А.Д., Щербина А.П.</t>
  </si>
  <si>
    <t>12.12.2024 подано в ФССП за период с 01.02.2024 по 31.05.2024 на сумму 7220,85 руб., гп. 200,00 руб. на Дьякову Л.А. 2-1828/2024</t>
  </si>
  <si>
    <t>Бирюзова маршала ул., дом 28</t>
  </si>
  <si>
    <t>06.12.2024 подано в ФССП за период с 01.05.2024 по 31.05.2024 на сумму 2007,62 руб., гп. 200,00 руб. на Сенченко К.М. 2-2053/152/2024</t>
  </si>
  <si>
    <t>Судебный приказ на Восканян Л.В., Данич М.О., Данич Т.Ю. 2-2425/2024</t>
  </si>
  <si>
    <t>Бирюзова маршала ул., дом 29</t>
  </si>
  <si>
    <t>договор купли продажи</t>
  </si>
  <si>
    <t>Бирюзова маршала ул., дом 30</t>
  </si>
  <si>
    <t>Судебный приказ на Пономаренко В.В., Сасин А.В. 2-2430/2024</t>
  </si>
  <si>
    <t>59</t>
  </si>
  <si>
    <t>21.10.2024 подано заявление о возбуждении ИП в ФССП России за период: 01.03.2024 по 30.06.2024 на сумму долга 8373,51 руб., гп 200,00 руб. на Бахроменко М.Б № 2-2007/2024</t>
  </si>
  <si>
    <t>Бирюзова маршала ул., дом 34</t>
  </si>
  <si>
    <t>31</t>
  </si>
  <si>
    <t>83</t>
  </si>
  <si>
    <t>Бирюзова маршала ул., дом 35 к.1</t>
  </si>
  <si>
    <t>26.07.2024 подано в 427 с/у за период с 01.05.2024 по 30.06.2024 на 5306.42 руб., гп 200.00 руб., на Лисицына А.А., Лисицын Д.Л.</t>
  </si>
  <si>
    <t>Бирюзова маршала ул., дом 37</t>
  </si>
  <si>
    <t>04.07.2024 подано в 427 с/у за период с 01.01.2024 по 31.05.2024 на 13282,32 руб., гп 265,65 руб., на Тамазанову А.П., Таратынова И.В.</t>
  </si>
  <si>
    <t>Бирюзова маршала ул., дом 39</t>
  </si>
  <si>
    <t>26.07.2024 подано в 427 с/у за период с 01.06.2024 по 30.06.2024 на 5485.99 руб., гп 200.00 руб., на Пантелеев О.А.</t>
  </si>
  <si>
    <t>20.11.2024 подано в ФССП за период с 01.02.2024 по 30.06.2024 на сумму 33047,23 руб., гп. 595,71 руб. на Решетова В,М., Решетова К.В., Решетова М.Е., Решетову М.М., Решетову Т.М. № 2-1988/152/2024</t>
  </si>
  <si>
    <t>Бирюзова маршала ул., дом 41</t>
  </si>
  <si>
    <t>На вотсап поступило смс обращение от Дениса Б. о том, что образовавшейся долг планирует частями закрыть. Предложено заключить договор</t>
  </si>
  <si>
    <t>Судебный приказ № 02-1335/2024 от 13.08.2024 на сумму 8326,23</t>
  </si>
  <si>
    <t>26.07.2024 подано в 151 с/у за период с 01.05.2024 по 30.06.2024 на 14177.83 руб., гп 283.56 руб., на Горшкова И.Ю., Углова Н.Ю.</t>
  </si>
  <si>
    <t>30.05.2024 подано в ФССП за период с 01.08.2023 по 31.12.2023 на 29406,82 руб., г.п. 541,10 руб. на Глебову О.П.. Глебова П.А.</t>
  </si>
  <si>
    <t>09.08.2024 подано в 151 с/у за период: с 01.06.2024 по 30.06.2024 на 5579,42 руб., гп. 200 руб. на Булатова Р.А.</t>
  </si>
  <si>
    <t>111</t>
  </si>
  <si>
    <t>112</t>
  </si>
  <si>
    <t>09.08.2024 подано в 151 с/у за период с 01.05.2024 по 30.06.2024 на 5080 руб., гп 200 руб. на Кирееву В.В., Кирееву Н.А., Киреева В.В., Соколова Е.Д.</t>
  </si>
  <si>
    <t>02.08.2024  подано в 151 с/у за период: с 01.05.2024 по 30.06.2024 на 1197 руб., гп 200 руб. на Кокорина И.И.</t>
  </si>
  <si>
    <t>120</t>
  </si>
  <si>
    <t>Бочвара академика ул., дом 2</t>
  </si>
  <si>
    <t>30.08.2024 подано заявление о возбуждении ИП в ПАО Сбербанк в отношении Голышевой И.В., Пранополус  А.В. на 15356,20 руб.. гп 307,13 руб.</t>
  </si>
  <si>
    <t>22.11.2022 подано в ФССП за период с 01.06.2004 по 30.04.2022 на сумму 243,42 гп на Кудрина Н.Н., Кудрина А.Н. 2-626/22</t>
  </si>
  <si>
    <t>88</t>
  </si>
  <si>
    <t>Распоряжение территориального отдела по вопросам опеки об оекой над несовершеннолетней Таракановой Валерии Рашидовны, тел опеки 8-495-337-00-14 доб 42584 Смирнова К.С.</t>
  </si>
  <si>
    <t>Бочвара академика ул., дом 3 к.1</t>
  </si>
  <si>
    <t>Долг оплачен 19.08.2022 на 180 635,43 руб.</t>
  </si>
  <si>
    <t>23.05.2024 подано в ФССП за период с 01.12.2021 по 30.11.2023 на 103827,22 руб., гп. 1638,27 руб., на Климакова А.А., Красовскую О.Э.</t>
  </si>
  <si>
    <t>Бочвара академика ул., дом 3 к.2</t>
  </si>
  <si>
    <t>Бочвара академика ул., дом 5 к.1</t>
  </si>
  <si>
    <t>93</t>
  </si>
  <si>
    <t>08.08.2024 подано в 150 с/у за период: с 01.05.2024 по 31.05.2024 на 4019,71 руб., гп 200 руб. на Симонова А.А, Симонову О.А. Симонова Д.А.</t>
  </si>
  <si>
    <t>98</t>
  </si>
  <si>
    <t>26.07.2024 подано в 150 с/у за период с 01.05.2024 по 30.06.2024 на 5198.16 руб., гп 200.00 руб., на Кутлузаманова Ф.Х., Кутлузаманов Р.Р.</t>
  </si>
  <si>
    <t>151</t>
  </si>
  <si>
    <t>182</t>
  </si>
  <si>
    <t>На Сухорученков Олег Валерьевич, Сухорученкова Любовь Валерьевна, с 01.06.2004 по 31.01.2021, на сумму 121901,3, гп. 1819,01
Участок № 150, Дата 19.02.2021г.</t>
  </si>
  <si>
    <t>Бочвара академика ул., дом 5 к.2</t>
  </si>
  <si>
    <t>На Никифорова Олеся Сергеевна, Никифоров Вадим Игоревич, с 01.08.2017 по 28.02.2021, ан сумму 29561,14, гп. 543,42
Участок № 150, Дата 12.03.2021г.</t>
  </si>
  <si>
    <t>19.01.2024 подано в ФССП за период с 01.09.2022 по 31.07.2023 на сумму 36926,29 руб., г.п. 653,89 руб. на Зазвонова Ю.М.</t>
  </si>
  <si>
    <t>158</t>
  </si>
  <si>
    <t>Потупила оплата в сумме 28200,00 руб.</t>
  </si>
  <si>
    <t>Бочвара академика ул., дом 5 к.3</t>
  </si>
  <si>
    <t>Поступила оплата в сумме 15 тыс. руб.</t>
  </si>
  <si>
    <t>110</t>
  </si>
  <si>
    <t>Судебный приказ № 2-742/2023 от 05.06.23 (период 01.06.2022-31.03.2023, основной - 21928,50, г.п.428,93), повторно подан в ФССП</t>
  </si>
  <si>
    <t>130</t>
  </si>
  <si>
    <t>08.12.2023 подано в ФССП за период 01.09.2022-31.07.2023 на сумму 40151,59 руб., г/п 702,27 руб., на Конвалюк В.Е., Смирнову К.И., Смирнову Н.Л., Смирнова И.В. 2-1380/2023</t>
  </si>
  <si>
    <t>131</t>
  </si>
  <si>
    <t>28.11.2024 подано в ФССП за период с 01.08.2023  по 21.01.2024 на сумму 60699,67 руб., гп. 1010,50 руб. на Мельничук Д.Т., Петрусеву Н.А. № 2-1488/2024</t>
  </si>
  <si>
    <t>Бочвара академика ул., дом 6</t>
  </si>
  <si>
    <t>На Чернышова Елена Борисовна, Данча Юрий Юрьевич, с 01.06.2004 по 31.05.2021, на сумму 9861,29, гп .200</t>
  </si>
  <si>
    <t>Судебный приказ на Лихареву Д.М., Лихареву Н.Ю., Лихарева М.Ю., Лихарева Я.М. 2-999/2023</t>
  </si>
  <si>
    <t>Бочвара академика ул., дом 7 к.1</t>
  </si>
  <si>
    <t>Решение 150 с/у о взыскании с Ежелевой Е.А. 18287,39 долга, 607,53 пени и 731,50 г.п.</t>
  </si>
  <si>
    <t>Бочвара академика ул., дом 7 к.2</t>
  </si>
  <si>
    <t>156</t>
  </si>
  <si>
    <t>175</t>
  </si>
  <si>
    <t>Бочвара академика ул., дом 8</t>
  </si>
  <si>
    <t>На Федосова Татьяна Николаевна, Федосов Владимир Александрович, Кудина Наталья Ярославовна, Федосов Александр Иванович, с 01.08.2019 по 31.03.2021, на сумму 25614,28, гп. 484,21</t>
  </si>
  <si>
    <t>43</t>
  </si>
  <si>
    <t>26.02.2024 подано в 151 с/у за период с 01.08.2023 по 31.01.2024 на сумму 17446,85 руб. г.п. 348,94 руб. на Шубину А.В.</t>
  </si>
  <si>
    <t>26.07.2024 подано в 151 с/у за период с 01.02.2024 по 30.06.2024 на 15439.94 руб., гп 308.80 руб., на Брагинская А.А., Брагинский А.А., Серко Т.Ю.</t>
  </si>
  <si>
    <t>92</t>
  </si>
  <si>
    <t>выгрузка егрн</t>
  </si>
  <si>
    <t>138</t>
  </si>
  <si>
    <t>13.05.2024 подано в Сбербанк за период с 01.05.2023 по 30.11.2023 на 53996,29 руб., гп. 909,95 руб., на Мишиневу Т.Ю.</t>
  </si>
  <si>
    <t>Бочвара академика ул., дом 9</t>
  </si>
  <si>
    <t>22</t>
  </si>
  <si>
    <t>15.11.2024 подано в ФССП за период с 01.02.2023 по 30.06.2024 на сумму 5466,74 гп. 200,00 руб. на Кирюхину Л.В., Кирюхину М.А. № 02-1593/2024</t>
  </si>
  <si>
    <t>64</t>
  </si>
  <si>
    <t>Судебный приказ на Воякину Т.Л., Купцова Л.А. № 02-1574/2024 от 03.09.2024 на сумму 12190,12</t>
  </si>
  <si>
    <t>30.05.2024 подано в ФССП за период с 01.08.2023 по 31.12.2023 на 44016,21 руб., г.п. 760,25 руб. на Власова Е.А., Власова П.А., Сосновскую Н.В.</t>
  </si>
  <si>
    <t>06.11.2024 подано в ФССП за период с 01.05.2024 по 30.06.2024 на сумму 14071,15 руб., гп. 281,43 руб. на на Иванову Л.В., Мельникову Д.В., Покровского В.В., Сафронова Л. , Сафронову Т.В., 2-1595/151/2024</t>
  </si>
  <si>
    <t>Бочвара академика ул., дом 10а</t>
  </si>
  <si>
    <t>Платит раз в 12 мес.</t>
  </si>
  <si>
    <t>30.05.2024 подано в ФССП за период с 01.05.2023 по 31.12.2023 на 77315,24 руб., г.п. 1259,73 руб. на Паршенкову С.В.. Паршенкова К.К.</t>
  </si>
  <si>
    <t>26.07.2024 подано в 151 с/у за период с 01.03.2024 по 30.06.2024 на 18494.28 руб., гп 369.89 руб., на Федин И.А.</t>
  </si>
  <si>
    <t>30.05.2024 подано в ФССП за период с 01.08.2023 по 31.12.2023 на 30380,86 руб., г.п. 555,72 руб. на Бондареву Е.В.</t>
  </si>
  <si>
    <t>09.11.2023 подано в ФССП за период с 01.09.2022 по 31.07.2023 на сумму 41298,51 руб., г.п. 719,48 руб. на Самотохина Г.Э.</t>
  </si>
  <si>
    <t>05.04.2023 подано в ФССП на Мацюк М.В. за период с 01.12.2020-30.09.2021 на сумму 27495,52 и 512,43 гп</t>
  </si>
  <si>
    <t>Бочвара академика ул., дом 10б</t>
  </si>
  <si>
    <t>22.02.2024 подано в 151 с/у за период с 01.08.2023 по 31.12.2023 на 30744,65 руб., г.п. 561,17 руб. на Сухову Л.Б.</t>
  </si>
  <si>
    <t>Соглашение о реструктуризации № 33 от 20.06.2024</t>
  </si>
  <si>
    <t>01.02.2024 подано в банк за период 01.12.2020-31.07.2023 на сумму 20883,38 руб., г/п. 413,25 руб., на Горбунова Е.А.</t>
  </si>
  <si>
    <t>Бочвара академика ул., дом 12</t>
  </si>
  <si>
    <t>19.05.2023 подано в 151 с/у за период с 01.10.2022 по 30.04.2023 на сумму 33813,92 руб., гп. 607,21 руб., на Нелидова А.Ю., Нелидова А.А.</t>
  </si>
  <si>
    <t>13.05.2024 подано в Сбербанк за период 01.09.2022-30.11.2023 на сумму долга 42675,54 руб. , гп. 740,13 руб. на Миронову И.В.</t>
  </si>
  <si>
    <t>Бочвара академика ул., дом 13</t>
  </si>
  <si>
    <t>23</t>
  </si>
  <si>
    <t>Судебный приказ Шубин Р.И. 2-538/22</t>
  </si>
  <si>
    <t>Соглашение о реструктуризации № 57 от 23.11.2024</t>
  </si>
  <si>
    <t>Отзыв из ФССП</t>
  </si>
  <si>
    <t>Бочвара академика ул., дом 17</t>
  </si>
  <si>
    <t>08.08.2024 подано в 151 с/у за период: с 01.06.2024 по 30.06.2024 на 7458,79 руб. гп 200 руб. на Островскую Е.П., Островскую Н.А., Островского А.В.</t>
  </si>
  <si>
    <t>09.02.2022 подано в 151 с/у  за период с 01.03.2005 по 31.12.2021 на сумму 15071,79 руб.,гп.301,44 руб., на Левитан Л.Е.,</t>
  </si>
  <si>
    <t>Василевского маршала ул., дом 1 к.1</t>
  </si>
  <si>
    <t>Судебный приказ на Дроздову В.И. 2-2414/2024</t>
  </si>
  <si>
    <t>09.06.2023 подано в 152 с/у на Пушкину Е.А. за период с 01.08.2022-30.04.2023 на сумму 28725,03 и 530,88 г/п</t>
  </si>
  <si>
    <t>Определение об отмене судебного приказа по гражданскому делу № 2-1777/152/2024 за период с 01.01.2024 по 30.06.2024 в размере 34415,69, гос.пошлина 616,24.</t>
  </si>
  <si>
    <t>Собственник умер</t>
  </si>
  <si>
    <t>134</t>
  </si>
  <si>
    <t>173</t>
  </si>
  <si>
    <t>Василевского маршала ул., дом 5 к.2</t>
  </si>
  <si>
    <t>Судебный приказ на Кондрашину В.А., Кондрашину М.Д. № 2-2427/152/2024</t>
  </si>
  <si>
    <t>129</t>
  </si>
  <si>
    <t>21.10.2024 подано заявление о возбуждении ИП в ФССП России за период: с 01.05.2024 по 31.05.2024 на сумму долга 2525,21 руб., гп 200,00 руб. в отношении Тулинов П.А. № 2-1993/1522024</t>
  </si>
  <si>
    <t>01.02.2024 подано в банк за период 01.01.2023-30.09.2023 на сумму 12798,95 руб., г/п. 255,98 руб., на Тулинова П.А.</t>
  </si>
  <si>
    <t>132</t>
  </si>
  <si>
    <t>06.12.2024 подано в ФССП за период с 01.1.2020 по 3.11.2023 на сумму 66519,01 руб., гп. 1097,90 руб. на Сариева Р.Г, Сариеву С.Р. 2-1766/152/2024</t>
  </si>
  <si>
    <t>136</t>
  </si>
  <si>
    <t>Заключен договор о реструктуризации долга № 36 от 10.07.2024. Ежемесячный платеж по договору 4398 руб.</t>
  </si>
  <si>
    <t>139</t>
  </si>
  <si>
    <t>Судебный приказ на Халитова К.Х. 2-2415/2024</t>
  </si>
  <si>
    <t>153</t>
  </si>
  <si>
    <t>Парахонская Наталья Николаевна включена в Единый федеральный реестр о банкротстве - на сумму 46 525,67 руб.</t>
  </si>
  <si>
    <t>263</t>
  </si>
  <si>
    <t>279</t>
  </si>
  <si>
    <t>23.06.2023 подано в 152 с/у за период с 01.12.2021 по 31.05.2023 на 10532.60 руб., гп 210.65 руб., на Васильева Г.Г., Письменская Т.В., Татаева И.В.</t>
  </si>
  <si>
    <t>06.12.2024 подано в ФССП за период с 01.06.2024 по 30.06.2024 на сумму 4386,07 руб., гп. 200,00 руб. на   Гончаренко И.О. 2-2048/152/2024</t>
  </si>
  <si>
    <t>313</t>
  </si>
  <si>
    <t>327</t>
  </si>
  <si>
    <t>Василевского маршала ул., дом 7 к.1</t>
  </si>
  <si>
    <t>04.07.2024 подан в 150 с/у за период с 01.03.2024 по 31.05.2024 на 11051,45 руб., гп 221,03 руб., на Кругляк А. Д. , Харламова И. Ю.</t>
  </si>
  <si>
    <t>Василевского маршала ул., дом 7 к.2</t>
  </si>
  <si>
    <t>121</t>
  </si>
  <si>
    <t>17.11.2022 подано в 150 с/у за период с 01.10.2021 по 31.08.2022 на сумму 30 043,58 и 550,65 гп на Полагуткину Р.Д.</t>
  </si>
  <si>
    <t>Судебный приказ на Журенкова А.Е., Журенкова О.А., Журенков Е.О. 2-1723/2024</t>
  </si>
  <si>
    <t>Наниматель Деронина Наталья Евгеньевна, те.: 8-915-145-08-53</t>
  </si>
  <si>
    <t>227</t>
  </si>
  <si>
    <t>241</t>
  </si>
  <si>
    <t>253</t>
  </si>
  <si>
    <t>23.08.2024 подано в 150 с/у за период: с 01.05.2024 по 30.06.2024 на 6808,62 руб., гп 200 руб. на Стефанова Ю.А.</t>
  </si>
  <si>
    <t>274</t>
  </si>
  <si>
    <t>Судебный приказ на Трофимчука К.В 2-1729/2024</t>
  </si>
  <si>
    <t>302</t>
  </si>
  <si>
    <t>Василевского маршала ул., дом 9 к.2</t>
  </si>
  <si>
    <t>19</t>
  </si>
  <si>
    <t>23.03.2022 подано в с/у 150 на Кузину Л.Ф. с 01.08.2021 по 31.01.2021, на сумму 3906,03, гп. 200 руб.</t>
  </si>
  <si>
    <t>38</t>
  </si>
  <si>
    <t>Судебный приказ на Иваниченко А.Н., Иваниченко А.А. 2-1727/2024</t>
  </si>
  <si>
    <t>107</t>
  </si>
  <si>
    <t>Василевского маршала ул., дом 9 к.3</t>
  </si>
  <si>
    <t>Определение об отмене судебного приказа № 2-1500/2024 от 12.09.2024, за период 01.05.2024 по 30.06.2024, в размере 30.428,80, гос.пошлина 556,43.</t>
  </si>
  <si>
    <t>Звонила должница, сказала что оплатила 30% от суммы долга для заключения реструктуризации</t>
  </si>
  <si>
    <t>26.07.2024 подано в 150 с/у за период с 01.02.2024 по 30.06.2024 на 27698.42 руб., гп 515.48 руб., на Цупко С.И.</t>
  </si>
  <si>
    <t>07.09.2023 подано в ФССП за период с 01.06.2022 по 31.03.2023 на сумму 37795,11 руб., гп. 666,93 руб., на Швердеева В.В.</t>
  </si>
  <si>
    <t>Василевского маршала ул., дом 9 к.4</t>
  </si>
  <si>
    <t>Письмо из ПАО Сбербанк</t>
  </si>
  <si>
    <t>21.06.2024 подано в 150 с/у за период с 01.12.2023 по 29.02.2024 на 12846.87 руб., гп 256.94 руб., на Усачева Т.И.</t>
  </si>
  <si>
    <t>Судебный приказ на Воряхову В.И. 2-1314/2024</t>
  </si>
  <si>
    <t>Василевского маршала ул., дом 13 к.1</t>
  </si>
  <si>
    <t>собственник погасит долг в полном объеме до 02.10.2023 года.</t>
  </si>
  <si>
    <t>Заключен договор о реструктуризации от 20.06.2022, сроком до 25.06.2023</t>
  </si>
  <si>
    <t>27.05.2024 подано в банк на сумму 200,00, на Магомедову Д.М., Османову С.М., Османова З.М., 2-550/2024</t>
  </si>
  <si>
    <t>86</t>
  </si>
  <si>
    <t>Приходил собственник, сообщил, что долговой за сентябрь будет оплачен до 01.11.2024, государственную пошлину оплатил, приказ в ФССП не направлять (89013599694)</t>
  </si>
  <si>
    <t>Василевского маршала ул., дом 15</t>
  </si>
  <si>
    <t>30.08.2024 подано заявление о возбуждении ИП в ПАО Сбербанк в отношении Дробышевской В.Н, Дробышевсой Т.В., Дробышевского Д.А. на 21843,62 руб., гп 427,66 руб.</t>
  </si>
  <si>
    <t>Заявление на возврат госпошлины</t>
  </si>
  <si>
    <t>02.11.2022 заключен договор реструктуризации №96</t>
  </si>
  <si>
    <t>21.06.2024 подано в 150 с/у за период с 01.06.2023 по 30.04.2024 на 6439.37 руб., гп 200.00 руб., на Волостных Л.В., Карпович С.С.</t>
  </si>
  <si>
    <t>На Фролов Анатолий Митрофанович, с 01.06.2004 по 31.01.2021, на сумму 6232,32, гп. 200, Доля 33,33%
На Богданова Лариса Анатольевна, с 01.06.2004 по 31.01.2021, на сумму 6232,32, гп. 200, Доля 33,33%
На Фролов Владимир Анатольевич, с 01.06.2004 по 31.01.2021, на сумму 6232,32, гп. 200, Доля 33,33%
Участок №150, Дата 19.02.2021г.</t>
  </si>
  <si>
    <t>Вершинина маршала ул., дом 3</t>
  </si>
  <si>
    <t>23.12.2023 приходил риэлтор-представитель должника. Обещали заключить договор реструктуризации.</t>
  </si>
  <si>
    <t>04.07.2024 подано в 427 с/у за период с 01.02.2024 по 30.04.2024 на 7138,21 руб., гп 200 руб., на Буданову К.В.,  Хасанову И.Т.,  Петрову А.Д.</t>
  </si>
  <si>
    <t>36</t>
  </si>
  <si>
    <t>Судебный приказ на Соловьева И.С., Соловьева С.В., Соловьеву Е.С., Соловьеву С.С., Царькову К.С. 2-0908/2024</t>
  </si>
  <si>
    <t>Судебный приказ на Пенку О.Б. 2-1109/2024</t>
  </si>
  <si>
    <t>118</t>
  </si>
  <si>
    <t>12.07.2024 подан в 427 с/у за период с 01.12.2023 по 31.12.2023 на 5900.08 руб., гп 200.00 руб., на Дубинин А.М., Касьянова Л.Ю.</t>
  </si>
  <si>
    <t>141</t>
  </si>
  <si>
    <t>Поступила оплата в сумме 9115 руб.</t>
  </si>
  <si>
    <t>15.08.2024 подано в 427 с/у за период: с 01.06.2024 по 30.06.2024 на 8794,04 руб., гп 200 руб. на Волчкову Т.С.</t>
  </si>
  <si>
    <t>Вершинина маршала ул., дом 3 к.2</t>
  </si>
  <si>
    <t>Судебный приказ Нагаева Н.С., Сафарову О.Ф. 2-0158/2024</t>
  </si>
  <si>
    <t>14.12.2023 подано в ФССП за период 01.06.2004 по 31.05.2022 на сумму 30672,00 руб., гп. 560,08 руб. на Богданова А.А.</t>
  </si>
  <si>
    <t>28.11.2024 подано в ФССП за период с 01.02.2022 по 30.11.2023 на сумму 26343,78 руб., гп. 495,16 руб. на Иванова И.Ю., Иванова Ф.И.  № 02-0427/2024</t>
  </si>
  <si>
    <t>72</t>
  </si>
  <si>
    <t>17.06.24 приходил должник и представил на обозрение оплаченные ЕПД за период с 01.01.2024-31.05.2024 от 15.06.2024</t>
  </si>
  <si>
    <t>Вершинина маршала ул., дом 4 к.1</t>
  </si>
  <si>
    <t>8-926-709-99-03. Должнику присылают уведомления о наличии долга, хотя судя по аквиле долгов нет.</t>
  </si>
  <si>
    <t>15.02.2024 подано в 427 с/у за период с 01.09.2023 по 31.12.2023 на 58267,17 руб., г.п. 974,01 руб. на  Слободинова С.Л., Табакову М.С.</t>
  </si>
  <si>
    <t>Письмо из ПАО СБербанк</t>
  </si>
  <si>
    <t>Вершинина маршала ул., дом 4 к.2</t>
  </si>
  <si>
    <t>Вершинина маршала ул., дом 5</t>
  </si>
  <si>
    <t>15.08.2024 подано в 427 с/у за период: с 01.05.2024 по 30.06.2024 на 4001,87 руб., гп 200 руб. на Цветкова О.В.</t>
  </si>
  <si>
    <t>28.11.2024 подано в ФССП за период с 01.03.2023 по 30.11.2023 на сумму 16251,91 руб., гп. 325,04 руб. на Сирмову И.Ю. № 02-0423/427/2024</t>
  </si>
  <si>
    <t>19.09.2023 заключен договор о реструктуризации №91</t>
  </si>
  <si>
    <t>28</t>
  </si>
  <si>
    <t>14.12.2023 подано в ФССП за период 01.06.2021 по 31.01.2022 на сумму 25454,75 руб., гп. 481,82 руб. на Мирошниченко Т.Г.</t>
  </si>
  <si>
    <t>29.02.2024 подано в 427 с/у за период с 01.03.2023 по 31.01.2024 на 57832,09 руб., г.п. 967,48 руб. на Катаеву А.В.</t>
  </si>
  <si>
    <t>29.02.2024 подано в 427 с/у за период с 01.03.2023 по 31.01.2024 на 138733,95 руб., г.п. 1987,34 руб. на Катаеву А.В.</t>
  </si>
  <si>
    <t>29.02.2024 подано в 427 с/у за период с 01.03.2023 по 31.01.2024 на 27607,35 руб., г.п. 514,11 руб. на Катаеву А.В.</t>
  </si>
  <si>
    <t>05.09.2022 подано в ФССП за период с 01.06.2004 по 31.01.2022 на сумму 1833,85 и г.п. 200 на Лукошникову Л.А. 2-199/22</t>
  </si>
  <si>
    <t>Вершинина маршала ул., дом 6</t>
  </si>
  <si>
    <t>04.07.2024 подано в 427 с/у за период с 01.10.2021 по 31.01.2022 на 2521,29 рублей., гп 200,00 рублей., на Чибина В.А.</t>
  </si>
  <si>
    <t>Судебный приказ на Горошко Н.И. 2-1031/2024</t>
  </si>
  <si>
    <t>наниматель Кочкина Алла Юрьевна умерла, жилое помещение ДГИ переводится в свободную площадь.</t>
  </si>
  <si>
    <t>Приходила на прием, просила не отдавать на исполнение судебный приказ, планирует заключить договор. Предоставлены реквизиты</t>
  </si>
  <si>
    <t>Поступила оплата в сумме 12 тыс.руб.</t>
  </si>
  <si>
    <t>Вершинина маршала ул., дом 7</t>
  </si>
  <si>
    <t>29.02.2024 подано в 427 с/у за период с 01.08.2023 по 31.01.2024 на 81592,291 руб., г.п. 1323,89 руб. на Тразанову В.П., Тразанова Р.П.</t>
  </si>
  <si>
    <t>19.05.2023 подано в 427 с/у за период с 01.01.2022 по 30.04.2023 на сумму 39980,67 руб., гп. 699,71 руб., на Джолохава Т.Б., Рогаву И.И., Сулимову В.А.</t>
  </si>
  <si>
    <t>Вершинина маршала ул., дом 9</t>
  </si>
  <si>
    <t>15.08.2024 подано в 427 с/у за период: с 01.05.2024 по 31.05.2024 на 8821,98 руб., гп 200 руб. на Мартыненко Э.В., Мартыненко Е.В.</t>
  </si>
  <si>
    <t>Собственник умер в 13.12.2016 году</t>
  </si>
  <si>
    <t>15.08.2024 подано в 427 с/у за период: с 01.05.2024 по 30.06.2024 на 2523,63 руб., гп 200 руб. на Рословцева Р.П.</t>
  </si>
  <si>
    <t>15.08.2024 подано в 427 с/у за период: с 01.07.2023 по 31.08.2023 на 2105,90 руб., гп 200 руб. на Османова И.О.</t>
  </si>
  <si>
    <t>Вершинина маршала ул., дом 10</t>
  </si>
  <si>
    <t>02.06.2023 подано в ФССП на Голикову О.С., Матвиец А.Д. за период с 01.02.2022-31.01.2023 на сумму 22636,73 и 897,05 гп</t>
  </si>
  <si>
    <t>Волоколамский 1-й пр., дом 4</t>
  </si>
  <si>
    <t>12.12.2024 подано в ФССП за период с 01.05.2024 по 30.06.2024  на сумму гп. 349,53 руб. на Андрушкевича А.Н. 2-1725/2024</t>
  </si>
  <si>
    <t>Судебный приказ на Мартынову С.В., Мартынова К.О 2-2417/2024</t>
  </si>
  <si>
    <t>52</t>
  </si>
  <si>
    <t>Определение об отмене судебного приказа № 2-1744/152/2024 от 29.08.2024 за период 01.06.2023 по 30.04.2024, в размере 29642,30, гос.пошлина 544,64</t>
  </si>
  <si>
    <t>Волоколамский 1-й пр., дом 5</t>
  </si>
  <si>
    <t>11.10.2024 подано в ФССП за период с 01.03.2024 по 30.06.2024 на сумму 19728,84 руб., гп. 394,58 руб. на Муслимова И.В. № 2-1757/152/2024</t>
  </si>
  <si>
    <t>Волоколамский 1-й пр., дом 6 к.1</t>
  </si>
  <si>
    <t>21.06.2024 подано в 152 с/у за период: с 01.09.2023 по 30.04.2024 на 17163,78 руб. гп 343,28 на Орлову Э.А.</t>
  </si>
  <si>
    <t>поступила оплата по доглвлру реструктуризации № 56  сумме 21 000 руб.</t>
  </si>
  <si>
    <t>Волоколамский 1-й пр., дом 6 к.2</t>
  </si>
  <si>
    <t>85</t>
  </si>
  <si>
    <t>87</t>
  </si>
  <si>
    <t>26.01.2023 подано в ФССП за период 01.06.2021-31.08.2022 на сумму 20 621,13 и 406,32 г.п. на Топтун И.В. 2-1145/152/22</t>
  </si>
  <si>
    <t>97</t>
  </si>
  <si>
    <t>Судебный приказ  на Акилову И.Е.  № 2-2603/152/2024</t>
  </si>
  <si>
    <t>Волоколамский 1-й пр., дом 7 к.3</t>
  </si>
  <si>
    <t>24.11.2023 подано в ФССП за период 01.09.2022 по 31.07.2023 на 62208,38 руб., г/п. 1033,13 на Товмасян А.А.</t>
  </si>
  <si>
    <t>Судебный приказ  на Кононенко Ю.А., Смирнова В.М. № 2-2611/152/2024</t>
  </si>
  <si>
    <t>Волоколамский 1-й пр., дом 7 к.4</t>
  </si>
  <si>
    <t>19.11.2021 направлен документ в фссп за период с 01.02.2021 по 30.06.2021 на сумму 14308,84 руб.,гп.286,18руб.№2-817/2021 на Шекина Л.Н.</t>
  </si>
  <si>
    <t>24.11.2023 подано в ФССП за период 01.03.2023 по 30.06.2023 на сумму 2366,29 руб., г/п. 254.16 руб на Гулиева А.Г. оглы 
24.11.2023 подано в ФССП за период 01.03.2023 по 30.06.2023 на сумму 2366,29 руб., г/п. 254.16 руб на Гулиеву С.А.</t>
  </si>
  <si>
    <t>12.12.2024 подано в ФССП за период с 01.10.2023 по 30.06.2023 на сумму 3935,07 руб., гп. 308,87 руб. на Артамонова Э.О., Гадирова Н.Ф. 2-1749/2024</t>
  </si>
  <si>
    <t>Волоколамский 1-й пр., дом 8 к.1</t>
  </si>
  <si>
    <t>09.02.2023 подано в ФССП за период с 01.02.2021 по 31.08.2022 на сумму 2668,91 руб., гп. 200 руб. на Ильина В.Н. 2-1271/2022</t>
  </si>
  <si>
    <t>Волоколамский 1-й пр., дом 8 к.2</t>
  </si>
  <si>
    <t>20.11.2024 подано заявление в ФССП России об отзыве с исполнения       
ИД № 2-1752/152/2024 на Орлову Н.Е., Рахимову Ю.В., Рахимова Р.Р</t>
  </si>
  <si>
    <t>Волоколамский 1-й пр., дом 11 к.1</t>
  </si>
  <si>
    <t>новый собственник несовершеннолетний Рыженков Леонид Александрович</t>
  </si>
  <si>
    <t>Судебный приказ на Борзову Л.К., Залыгаеву О.В. 2-2602/2024</t>
  </si>
  <si>
    <t>Волоколамский 1-й пр., дом 11 к.2</t>
  </si>
  <si>
    <t>11.12.2024 подано заявление в ФССП России об отзыве с исполнения ИД № 2-954/152/2023</t>
  </si>
  <si>
    <t>Волоколамский 1-й пр., дом 11 к.3</t>
  </si>
  <si>
    <t>04.10.2024 подано в ФССП за период с 01.08.2023 по 31.12.2023 на сумму 41708,49 руб., гп. 725,61 руб. на Строкова Л.А № 2-1765/2024
04.10.2024 подано в ФССП за период с 01.01.2024 по 30.06.2024 на сумму 46971,90 руб., гп. 804,58 руб. на Строкова Л.А № 2-1764/2024</t>
  </si>
  <si>
    <t>Волоколамский 1-й пр., дом 13</t>
  </si>
  <si>
    <t>08.12.2023 подано в ФССП за период 01.04.2023-30.06.2023 на сумму 6426,74 руб., г/п 317,04 руб., на Власко С.Н. 2-1435/152/2023
08.12.2023 подано в ФССП за период 01.04.2023-30.06.2023 на сумму 6426,74 руб., г/п 317,04 руб., на Соболева А.А. 2-1435/152/2023</t>
  </si>
  <si>
    <t>Решение Хорошевского районного суда г. Москвы от 28.11.2023</t>
  </si>
  <si>
    <t>Приходила на прием Музыченко Е.В. получила уведомление просила не ограничивать в предоставлении коммунальных услуг. Взяла реквизиты для оплаты первоначального взноса по реструктуризацию Проинформировала что является многодетной мамой</t>
  </si>
  <si>
    <t>Волоколамский 1-й пр., дом 15/16</t>
  </si>
  <si>
    <t>Определение о передаче дела от мирового в районный суд</t>
  </si>
  <si>
    <t>27.09.2024 подано в ФССП за период с 01.05.2024 по 30.06.2024 на сумму 2481,62 руб., гп. 200,00 руб. на Иванова А.В., Иванову Л.А. 2-1511/2024</t>
  </si>
  <si>
    <t>Судебный приказ на Искусных А.А., Искусных А.А. Искусных Н.И. Озерянная М.А. № 2-2426/152/2024</t>
  </si>
  <si>
    <t>21.04.2023 подано в ФССП за период с 01.03.2022 по 31.12.2022 на сумму 31784,32 руб., гп. 576,77 руб. на Боровкова И.Г. 2-335/23</t>
  </si>
  <si>
    <t>04.10.2024 подано в ФССП за период с 01.04.2023 по 29.02.2024 на сумму 7403,67 руб., гп. 200,00 руб. на Шевелеву В.И. № 2-1701/152/2024</t>
  </si>
  <si>
    <t>Судебный приказ на Кирина Н.В. № 2-2499/152/2024</t>
  </si>
  <si>
    <t>Волоколамский 3-й пр., дом 2</t>
  </si>
  <si>
    <t>Судебный приказ на Самарина Т.В. 2-2504/2024</t>
  </si>
  <si>
    <t>18.10.2024 подано в ФССП за период с 01.10.2023 по 31.03.2024 на сумму 7707,44 руб., гп. 309,08 руб. на Алову Е.А., Топорщеву Н.А., Топорщева Е.Ю. 2-1989/2024</t>
  </si>
  <si>
    <t>на приеме Курганов. Заверил что, до 09.08. внесет порядка 20 тыс. Потом оплатит текущий ЕПД и остаток долга будет закрыт до 11.09.2024. На контроль! предложен заключить договор - отказался</t>
  </si>
  <si>
    <t>Волоколамский 3-й пр., дом 6 к.2</t>
  </si>
  <si>
    <t>Судебный приказ на Алибекова Р.А. 2503/152/2024</t>
  </si>
  <si>
    <t>Волоколамский 3-й пр., дом 8 к.1</t>
  </si>
  <si>
    <t>16.01.2023 подано в ФССП за период с 01.06.2006 по 30.04.2022 на сумму 1726,98 руб., гп 200,00 руб., на Красникову М.Д. 2-1012\2022</t>
  </si>
  <si>
    <t>Поступила оплата по договору реструктуризации долга в размере 6113,23 руб.</t>
  </si>
  <si>
    <t>Судебный приказ на Полях.И.А., Соломатину. И.М., Соломатина.О.Б., Соломатина.С.О,. 2-2428/152/2024</t>
  </si>
  <si>
    <t>29.03.2024 подано в ФССП за период с 01.06.2021 по 31.10.2023 на сумму 3716,25 руб., гп. 200,00 руб. на Стрельникова В.Н. 2-0110/2024</t>
  </si>
  <si>
    <t>Волоколамский 3-й пр., дом 8 к.2</t>
  </si>
  <si>
    <t>Волоколамский 3-й пр., дом 10 к.2</t>
  </si>
  <si>
    <t>Заключен договор о реструктуризации долга № 35. Ежемесячный платеж 8345,67 руб.</t>
  </si>
  <si>
    <t>Волоколамский 3-й пр., дом 12 к.1</t>
  </si>
  <si>
    <t>Судебный приказ на Иванова М.В., Сытник С.В. 2-2418/2024</t>
  </si>
  <si>
    <t>20.11.2024 подано в ФССП за период 01.01.2024 по 30.04.2024 на сумму 39680,44 руб., гп. 695,21 руб. на Иванова М.В., Сытник С.В. 2-1684/2024</t>
  </si>
  <si>
    <t>11.10.2024 подано в ФССП за период с 01.01.2021 по 30.04.2024 на сумму 91666,61 руб., гп. 1475,00 руб. на Мельник М.П. № 1732/152/2024</t>
  </si>
  <si>
    <t>Судебный приказ на Белякова А.А., Белякова А.Б. 2-2416/152/2024</t>
  </si>
  <si>
    <t>25.04.2024 подано в банк за период 01.09.2022-31.01.2024 на сумму 6393,92 руб., г/п 1059,46 руб.. на Грибова Е.А.</t>
  </si>
  <si>
    <t>27.09.2024 подано в ФССП за период с 01.08.2023 по 31.05.2024 на сумму 14561,38 руб., гп. 291,23 руб. на Широбокова М.Н., Широбокова Н.М. № 2-1465/152/2024</t>
  </si>
  <si>
    <t>Волоколамский 3-й пр., дом 12 к.2</t>
  </si>
  <si>
    <t>27.09.2024 подано в ФССП за период с 01.12.2023 по 31.05.2024 на сумму 25699,49 руб., гп. 559,98 руб. на Мерзликина П.П. № 2-1462/152/2024</t>
  </si>
  <si>
    <t>05.10.2023 подано в ФССП за период с 01.11.2022 по 30.06.2023 на сумму 77764,31 руб., гп. 1266,47 руб. на Кондратьеву Г.И., Кондратьеву Д.В., Кондратьеву И.В., Кондратьева В.А. 2-1134/23</t>
  </si>
  <si>
    <t>02.07.2024 подано в 152 с/у за период с 01.01.2022 по 31.05.2024 на сумму 12279,63, гп. 245,60, на Воронцову Н.А.</t>
  </si>
  <si>
    <t>Волоколамский 3-й пр., дом 14 к. 1</t>
  </si>
  <si>
    <t>Судебный приказ на Свечникову С.А. № 2-1710/152/2024</t>
  </si>
  <si>
    <t>Судебный приказ на Щербу Л.А. 2-2411/2024</t>
  </si>
  <si>
    <t>Поступила оплата по дог № 13 в сумме 8750,26 руб.</t>
  </si>
  <si>
    <t>Судебный приказ на Дрембей А.В. 2-2412/2024</t>
  </si>
  <si>
    <t>27.03.2023 подано в ФССП за период с 01.02.2021 по 31.08.2022 на сумму 39410,91 руб., гп. 691,17 руб. на Тимошенко В.Н. 2-1258/2022</t>
  </si>
  <si>
    <t>02.06.2023 подано ФССП на Зайцева Н.А. за период с 01.02.2022-30.04.2022 на сумму 4633,96 и 200 гп</t>
  </si>
  <si>
    <t>13.09.2024 подано в ФССП за период с 01.11.2023 по 31.05.2024 на сумму 4990,92 руб., гп. 200,00 руб. на Курова А.И. № 2-1303/152/2024</t>
  </si>
  <si>
    <t>Волоколамский Б. пр., дом 1</t>
  </si>
  <si>
    <t>15.07.2024 подан в 152 с/у за период с 01.11.2023 по 30.11.2023 на 2978,99 руб., гп 200 руб., на Бикмуллину Е. О. , Бикмуллину Е. М.</t>
  </si>
  <si>
    <t>Определение об отмене судебного приказа № 2-1728/152/2024 от 29.08.2024 за период 01.05.2024 по 30.06.2024, в размере 16994,38, гос.пошлина 339,89.</t>
  </si>
  <si>
    <t>30.06.2022 подано в ФССП за период с 01.06.2004 по 30.11.2021 на сумму 5210,07 руб., гп. 200,00 руб. на Соколову С.В. 2-148/2022
30.06.2022 подано в ФССП за период с 01.06.2004 по 30.11.2021 на сумму 5210,07 руб., гп. 200,00 руб. на Соколову А.Н. 2-146/2022</t>
  </si>
  <si>
    <t>Волоколамский Б. пр., дом 12</t>
  </si>
  <si>
    <t>заключен договор реструктуризации № 129 на 88073,96 до 25.04.2024</t>
  </si>
  <si>
    <t>12.12.2024 подано в ФССП за период с 01.05.2024 по 30.06.2024 на сумму 14118,25 руб., гп. 282,37 руб. на Воряхову В.И., Воряхову Н.Н. № 2-1727/152/2024</t>
  </si>
  <si>
    <t>Гамалеи ул., дом 8</t>
  </si>
  <si>
    <t>Заключен договор о реструктуризации долга № 1.  с 27.02.2025 по 27.08.2025  Ежемесячный платеж 5841 руб. 71 коп</t>
  </si>
  <si>
    <t>Гамалеи ул., дом 19 к.2</t>
  </si>
  <si>
    <t>23.08.2024 подано в 151 с/у за период: с 01.05.2024 по 30.06.2024 на 11378,34 руб., гп 227,57 руб.</t>
  </si>
  <si>
    <t>100</t>
  </si>
  <si>
    <t>198</t>
  </si>
  <si>
    <t>23.08.2024 подано в 151 с/у за период: с 01.06.2024 по 30.06.2024 на 3677,06 руб., гп. 200 руб.
на Михеева В.И., Шатскую Н.В.</t>
  </si>
  <si>
    <t>Гамалеи ул., дом 23 к.2</t>
  </si>
  <si>
    <t>29.02.2024 подано в 151 с/у за период с 01.07.2023 по 31.01.2024 на 39392,40 руб., г.п. 690,89 руб. на Нестерова В.И</t>
  </si>
  <si>
    <t>01.09.2023 подано в ФССП на Орлову Э.К. за период 01.12.2022 по 30.04.2023 на 16497.93 руб., гп 329.96 руб.</t>
  </si>
  <si>
    <t>29.02.2024 подано в 151 с/у за период с 01.09.2022 по 31.01.2024 на 107229,04 руб., г.п. 1672,29 руб. на Рейсер В.Г.</t>
  </si>
  <si>
    <t>04.07.2024 подан в 151 с/у за период с 01.12.2023 по 30.04.2024 на 46986,49 руб., гп 804,80 руб., на Храпков А. Г. ,  Храпков Н. А.</t>
  </si>
  <si>
    <t>Живописная ул., дом 30 к.1</t>
  </si>
  <si>
    <t>06.11.2024 подано в ФССП за период с 01.05.2024 по 30.06.2024 на сумму 13242,68 руб., гп. 264,86 руб. на Курсакина С.И. № 02-1596/2024</t>
  </si>
  <si>
    <t>Судебный приказ на Решетову М.А. 2-1098/2023</t>
  </si>
  <si>
    <t>08.08.2024 подано в 151 с/у за период: с 01.04.2024 по 30.06.2024 на 13630,18 руб. , гп 272,61 руб. на Аникину Д.А.</t>
  </si>
  <si>
    <t>08.08.2024 подано в 151 с/у за период: с 01.06.2024 по 30.06.2024 на 7737,42 руб., гп 200 руб. на Капутина А.С., Коренькову О.В.</t>
  </si>
  <si>
    <t>Живописная ул., дом 30 к.2</t>
  </si>
  <si>
    <t>08.08.2024 подано в 151 с/у за период: с 01.05.2024 по 30.06.2024 на 8851,78 руб., гп 200 руб. на Овчинникова А.С.</t>
  </si>
  <si>
    <t>12.07.2024 подано в 151 с/у за период с 01.10.2023 по 31.05.2024 на 4349.27 руб., гп 200.00 руб., на Ильина Т.С.</t>
  </si>
  <si>
    <t>Живописная ул., дом 30 к.3</t>
  </si>
  <si>
    <t>На Карева Ольга Леонидовна, с 01.09.2019 по 31.01.2021, на сумму 18652,14, гп. 373,04</t>
  </si>
  <si>
    <t>26.07.2024 подано в 151 с/у за период с 01.04.2024 по 30.06.2024 на 15627.70 руб., гп 312.56 руб., на Труханова М.Е.</t>
  </si>
  <si>
    <t>Судебный приказ на Самохину Г.И. № 02-1692/2024 от 04.09.2024 на сумму 11255,50</t>
  </si>
  <si>
    <t>20.10.2023 подано в ФССП за период с 01.12.2022 по 31.05.2023 на 16878.48 руб., гп 337.57 руб., на Тварковский С.В.</t>
  </si>
  <si>
    <t>Живописная ул., дом 30 к.4</t>
  </si>
  <si>
    <t>11.12.2024 подано заявление в ФССП России об отзыве с исполнения ИД</t>
  </si>
  <si>
    <t>26.07.2024 подано в 151 с/у за период с 01.05.2024 по 30.06.2024 на 7988.27 руб., гп 200.00 руб., на Никифоров М.В.</t>
  </si>
  <si>
    <t>Живописная ул., дом 32 к.2</t>
  </si>
  <si>
    <t>23.08.2024 подано в 151 с/у за период: с 01.05.2024 по 31.05.2024 на 1507,70 руб., гп 200 руб. на Вести Х.М., Исаеву М.М.</t>
  </si>
  <si>
    <t>23.08.2024 подано в 151 с/у за период: с 01.06.2024 по 30.06.2024 на 1059,60 руб., гп 200,00 руб. на Бабкова А.В.</t>
  </si>
  <si>
    <t>28.07.2023 подано в ФССП на Агаджанова Д.Р., Бабкову В.Е., Середина Р.Р. за период с 01.03.2021-31.03.2023 на сумму 4994,39 и 468,90 гп 2-747/2023</t>
  </si>
  <si>
    <t>06.06.2024 подано в Сбербанк на Несветову С.В.  на 21156,05 руб.</t>
  </si>
  <si>
    <t>23.08.2024 подано в 151 с/у за период: с 01.05.2024 по 30.06.2024 на 11915,00 руб., гп 238,30 руб. на Козлюк Г.В.</t>
  </si>
  <si>
    <t>116</t>
  </si>
  <si>
    <t>Судебный приказ на Дудиева ПБ. 2-883/2021</t>
  </si>
  <si>
    <t>178</t>
  </si>
  <si>
    <t>На Гревцева Валентина Ивановна, c 01.08.2016 по 31.03.2021, на сумму 100907,08, гп. 1609,07, %Доли 33.33%
На Батонова Альбина Викторовна, с 01.08.2016 по 31.03.2021, на сумму 100907,08, гп. 1609,07, %Доли 33.33%
На Батонов Владимир Анатольевич, с 01.08.2016 по 31.03.2021, на сумму 100907,08, гп. 1609,07, %Доли 33.33%</t>
  </si>
  <si>
    <t>Живописная ул., дом 34 к.1</t>
  </si>
  <si>
    <t>23.08.2024 подано в 151 с/у за период: с 01.03.2024 по 30.06.2024 на 37274,81 руб., гп 659,12 руб на Зражевского Н.В., Зражевского С.Н.</t>
  </si>
  <si>
    <t>Собственник по программе реновации переехал по адресу: 1-й Пехотный пр., д. 2, кв. 60</t>
  </si>
  <si>
    <t>Судебный приказ на Бельмесову С.М. № 02-1657/2024 от 04.09.2024 на сумму 12713,34</t>
  </si>
  <si>
    <t>Живописная ул., дом 34 к.2</t>
  </si>
  <si>
    <t>79</t>
  </si>
  <si>
    <t>20.05.2024 подано в Сбербанк за период с 01.11.2021 по 30.11.2023 на 31543,91 руб. на Лазарук М.М.</t>
  </si>
  <si>
    <t>Письмо из ПАО Сбербанк. во исполнении ИЛ № 2-10106/2023 ФС 046875299 отказано в связи с отсутствием действующих счетов</t>
  </si>
  <si>
    <t>95</t>
  </si>
  <si>
    <t>117</t>
  </si>
  <si>
    <t>23.08.2024 подано в 151 с/у за период: с 01.04.2024 по 30.06.2024 на 26386,68 руб., гп 495,80 руб. на Ишину А.Н., Кузнецову Т.Е.</t>
  </si>
  <si>
    <t>Живописная ул., дом 34 к.3</t>
  </si>
  <si>
    <t>137</t>
  </si>
  <si>
    <t>147</t>
  </si>
  <si>
    <t>152</t>
  </si>
  <si>
    <t>Судебный приказ на Лобанову Л.А. № 02-1690/2024 от 04.09.2024 на сумму 27764,44</t>
  </si>
  <si>
    <t>168</t>
  </si>
  <si>
    <t>Судебный приказ на Кондряшова О.В.</t>
  </si>
  <si>
    <t>Живописная ул., дом 34 к.4</t>
  </si>
  <si>
    <t>179</t>
  </si>
  <si>
    <t>Определение об отмене судебного приказа № 2-1891/2024 от 21.10.2024, с 01.03.2024 по 30.06.2024, на сумму 49104,17, г.п. 836,57</t>
  </si>
  <si>
    <t>228</t>
  </si>
  <si>
    <t>230</t>
  </si>
  <si>
    <t>Живописная ул., дом 36 к.1</t>
  </si>
  <si>
    <t>24-25</t>
  </si>
  <si>
    <t>Живописная ул., дом 36 к.2</t>
  </si>
  <si>
    <t>20-21</t>
  </si>
  <si>
    <t>23.08.2024 подано в 151 с/у за период: с 01.03.2024 по 30.06.2024 на 11440,15 руб., гп 228,81 руб. на Ильину К.А.</t>
  </si>
  <si>
    <t>21.06.2023 подано в ФССП за период с 01.05.2021 по 30.09.2022 на сумму34771.41/пеня 1022.05 руб., гп 636.90 руб., на Засыпкина Т.В. 2-1428/2022</t>
  </si>
  <si>
    <t>14.04.2023  подано в ФССП за период с 01.05.2021 по 30.09.2022 на сумму 36537,68 руб., гп. 636,93 руб. на Шлепневу А.В. 2-1395/2022</t>
  </si>
  <si>
    <t>Живописная ул., дом 52</t>
  </si>
  <si>
    <t>09.08.2024 подано в 151 с/у за период с 01.02.2024 по 31.05.2024 на 21272,84 руб. гп 419,10 руб.</t>
  </si>
  <si>
    <t>28.11.2024 подано в ФССП за период с 01.12.2023 по 31.05.2024 на сумму 1792,07 руб., гп. 200,00 руб. на Сергеева К.Е.  № 02-1687/151/2024</t>
  </si>
  <si>
    <t>Живописная ул., дом 54 к.1</t>
  </si>
  <si>
    <t>8-967-059-32-72</t>
  </si>
  <si>
    <t>08.08.2024 подано в 151 с/у за период: с 01.01.2024 по 30.06.2024 на 13441,40 руб. гп 268,83 руб. на Кондрашину Г.А.</t>
  </si>
  <si>
    <t>Поступила оплата по договору реструктуризации долга в сумме 10000,00 руб.</t>
  </si>
  <si>
    <t>Живописная ул., дом 56</t>
  </si>
  <si>
    <t>помещение 1</t>
  </si>
  <si>
    <t>ВЫПИСКА ЕГРН</t>
  </si>
  <si>
    <t>30.06.2023 подано в ФССП за период с 01.08.2021 по 31.03.2022 на сумму 47835.83 руб., гп 941.99 руб., на Шеметова О.И. 2-470/2023</t>
  </si>
  <si>
    <t>Живописная ул., дом 58</t>
  </si>
  <si>
    <t>02.08.2024 подано в 151 с/у за период: с 01.03.2024 по 30.06.2024 на 21188,46 руб., гп 417,83 руб. на Сукарявичус Р.В</t>
  </si>
  <si>
    <t>23.08.2024 подано в 151 с/у за период: с 01.06.2021 по 31.08.2021 на 8852,15 руб., гп 200 руб. на Бурдюг Р.Г.</t>
  </si>
  <si>
    <t>Конева маршала ул., дом 1</t>
  </si>
  <si>
    <t>Судебный приказ на Зименкову Д.В. 2-2610/2024</t>
  </si>
  <si>
    <t>18.10.2024 подано в ФССП за период с 01.05.2024 по 30.06.2024 на сумму 5859,65 руб., гп. 200,00 руб. на Зикеева А.В. 2-1882/2024</t>
  </si>
  <si>
    <t>Поступила оплата в сумме 2534 руб.</t>
  </si>
  <si>
    <t>Поступила оплата по дог реструктуризации в размере 2308,67 руб.</t>
  </si>
  <si>
    <t>Судебный приказ на Головина М.Ю. № 2-2608/152/2024</t>
  </si>
  <si>
    <t>должник позвонил 31.01.23 и сказал, что оплатил часть долга по ФЛС.</t>
  </si>
  <si>
    <t>Конева маршала ул., дом 2</t>
  </si>
  <si>
    <t>22.10.2024 подано в ФССП за период с 01.05.2024 по 30.06.2024 на сумму 15246,32 руб., гп. 304,91 руб. на Федотову Ю.Ю.  2-1879/2024</t>
  </si>
  <si>
    <t>Конева маршала ул., дом 3</t>
  </si>
  <si>
    <t>Справка о подтверждении льгот</t>
  </si>
  <si>
    <t>13.09.2024 подано в ФССП за период с 01.05.2024 по 30.06.2024 на сумму 31282,80 руб., гп. 569,24 руб. на Цыглян Д.В. № 2-1485/152/2024</t>
  </si>
  <si>
    <t>04.10.2024 подано в ФССП за период с 01.07.2023 по 30.11.2023 на сумму 4206,59 руб., гп. 200,00 руб. на Власову В.И., № 2-1683/152/2024</t>
  </si>
  <si>
    <t>18.10.2024 подано в ФССП за период с 01.09.2023 по 31.05.2024 на сумму 5619,08 руб., гп. 200,00 руб. на Дзеньковскую Е.Н. 2-1980/2024</t>
  </si>
  <si>
    <t>Конева маршала ул., дом 4 к.1</t>
  </si>
  <si>
    <t>Конева маршала ул., дом 4 к.2</t>
  </si>
  <si>
    <t>Решение мирового судьи 152 с/у от 15.03.24 о взыскании с Терехова А.В. 35558,62 руб. за период с 04.2022-11.2022, пени 4060,21 руб. и 1620,44 г.п.</t>
  </si>
  <si>
    <t>Стожок Ольга Владимировна будет 07.06.2024 года заключать соглашение о реструктуризации долга.</t>
  </si>
  <si>
    <t>Конева маршала ул., дом 5</t>
  </si>
  <si>
    <t>09.02.2023 подано в 152 с/у за период с 01.09.2021 по 31.12.2022 на 11575 руб., гп. 231,52 руб. на Леснову А.А.</t>
  </si>
  <si>
    <t>06.03.2024 подано в 152 с /у за период с 01.08.2023 по 31.01.2024 на 20443,28 руб., гп. 406,65 руб., на Берлин А.Л.</t>
  </si>
  <si>
    <t>Конева маршала ул., дом 7</t>
  </si>
  <si>
    <t>12.07.2024 подан в 152 с/у за период с 01.09.2023 по 31.05.2024 на 2728.70 руб., гп 200.00 руб., на Зайцева Л.А., Зайцев В.А., Мацевич Т.Б.</t>
  </si>
  <si>
    <t>Конева маршала ул., дом 8 к.1</t>
  </si>
  <si>
    <t>Заключен договор реструктуризации долга № 3. Окончание срока договора 20.01.2026 .Первоначальный взнос 30 тыс. руб. Ежемесячный платеж 5988 руб.</t>
  </si>
  <si>
    <t>Конева маршала ул., дом 8 к.2</t>
  </si>
  <si>
    <t>28.11.2024 подано в ФССП за период с 01.07.2023 по 31.01.2024 на сумму 21291,76 руб., гп. 419,38 руб. на Бондаренко Т.В., Корнеева Е.В.. Корнеева О.В., Яковлеву О.А.  № 2-1818/152/2024</t>
  </si>
  <si>
    <t>20.11.2024 подано в ФССП за период с 01.05.2024 по 30.06.2024 на сумму 25668,82 руб., гп. 485,03 руб. на Разуваеву Д.А., Разуваеву О.М. 2-1637/2024</t>
  </si>
  <si>
    <t>12.12.2024 подано в ФССП за период с 01.05.2024 по 30.06.2024 на сумму 8746,26 руб., гп. 200,00 руб. на Рослова М.В. 2-1876/2024</t>
  </si>
  <si>
    <t>Конева маршала ул., дом 8 к.3</t>
  </si>
  <si>
    <t>Конева маршала ул., дом 9</t>
  </si>
  <si>
    <t>15.08.2024 подано в 427 с/у за период: с 01.01.2024 по 30.06.2024 на 13406,04 руб., гп 268,12 руб на Анискина В.А.</t>
  </si>
  <si>
    <t>Конева маршала ул., дом 12</t>
  </si>
  <si>
    <t>22.02.2024 подано в 427 с/у за период с 01.10.2023 по 31.01.2024 на 53716,34 руб., г.п. 905,75 руб. на Чуйко И.Г.. Чуйко Н.А.</t>
  </si>
  <si>
    <t>Судебный приказ на Земячковскую С.И., Земячковского Д.А. 2-0426/2024</t>
  </si>
  <si>
    <t>115</t>
  </si>
  <si>
    <t>12.07.2024 подан в 427 с/у за период с 01.04.2024 по 31.05.2024 на 17711.24 руб., гп 354.23 руб., на Зиновьева Ю.И., Шарафутдинова Г.Р.</t>
  </si>
  <si>
    <t>Конева маршала ул., дом 13</t>
  </si>
  <si>
    <t>20.11.2024 подано в ФССП за период с 01.11.2022 по 30.11.2023 на сумму 31697,64 руб., гп. 575,47 руб. на Ямшинскую И.С., Ямшинского С.А. 2-0415/2024</t>
  </si>
  <si>
    <t>Определение об отмене судебного приказа по делу № 02-0702/427/2024 от 25.09.2024 за период 01.08.2023 по 31.01.2024 в размере 39606,18 рублей , гос пошлина 694,10 рублей.</t>
  </si>
  <si>
    <t>15.08.2024 подано в 427 с/у за период: с 01.05.2024 по 30.06.2024 на 5041,68 руб., гп 200 руб. на Новикова Л.В.</t>
  </si>
  <si>
    <t>04.07.2024 подано в 427 с/у за период с 01.05.2024 по 31.05.2024 на 1026.66 руб., гп 200.00 руб., на Абрамову И.Н</t>
  </si>
  <si>
    <t>8-999-975-08-73 Тамара - дочь должника. Приходила 28.10.2022 и пояснила, что до 01.2023 года оплатит всю задолженность.</t>
  </si>
  <si>
    <t>Конева маршала ул., дом 16</t>
  </si>
  <si>
    <t>Приходила Изотова И.А., уточняла условия заключения договора, взяла реквизиты для оплаты первоначального взноса</t>
  </si>
  <si>
    <t>Поступила оплата по договору реструктуризации долга № 62 в размере 4250 руб.</t>
  </si>
  <si>
    <t>Левченко Ирины ул., дом 1</t>
  </si>
  <si>
    <t>22.12.2023 подано в ФССП на Артемову А.В. на сумму 16101,13 руб., г.п. 322,03 руб. за период с 01.11.22-30.06.23</t>
  </si>
  <si>
    <t>04.07.2024 подано в 427 с/у за период с 01.04.2023 по 30.04.2023 на 3273,67 руб., гп 200 руб., на Старовойтову-Инце А.А.</t>
  </si>
  <si>
    <t>102</t>
  </si>
  <si>
    <t>после 15 числа собственник погасит долг в полном объеме</t>
  </si>
  <si>
    <t>Судебный приказ на Батакова А.А., Метелюк Г.В., Опрышко М.В.  2-0917/2024</t>
  </si>
  <si>
    <t>15.08.2024 подано в 427 с/у за период: с 01.05.2024 по 31.05.2024 на 8640,54 руб. , гп 200 руб. на Мухина М.С.</t>
  </si>
  <si>
    <t>02.08.2024 подано в 427 с/у за период: с 01.05.2024 по 31.05.2024 на 10236,55 руб. гп 204,73 руб. на Зал М.А., Зал С.А., Зал Т.И.</t>
  </si>
  <si>
    <t>425</t>
  </si>
  <si>
    <t>02.08.2024 подано в 427 с/у за период: с 01.04.2024 по 31.05.2024 на 11418,37 руб., гп 228,37 руб. на Бардину Г.Г., Якобсен Н.К.</t>
  </si>
  <si>
    <t>Левченко Ирины ул., дом 2</t>
  </si>
  <si>
    <t>Судебный приказ на Свиридову В.Г., Свиридову Э.Е. 2-0903/2024</t>
  </si>
  <si>
    <t>Судебный приказ на Данилеску Р.Ю., Касымову М.Б., Мирзахалова К.А.  2-0890/2024</t>
  </si>
  <si>
    <t>Левченко Ирины ул., дом 3</t>
  </si>
  <si>
    <t>09.06.2023 подано в ФССП за период с01.03.2022 по 31.01.2023 на сумму 6819.71 руб., гп 1549.09 руб., на Кокорева М.С.  02-0230/427/2023</t>
  </si>
  <si>
    <t>Левченко Ирины ул., дом 4</t>
  </si>
  <si>
    <t>15.08.2024 подано в 427 с/у за период: с 01.05.2024 по 30.06.2024 на 162,78 руб., гп 200 руб. на Бакшаева С.Ю.</t>
  </si>
  <si>
    <t>оплата в полном объеме поступит 31.05.2023</t>
  </si>
  <si>
    <t>Левченко Ирины ул., дом 6</t>
  </si>
  <si>
    <t>22.09.2023 подано в ФССП за период с 01.06.2022 по 30.04.2023 на сумму 8329,69 руб., гп. 200,00 руб., на Гладких М.Н., Гладких Н.Н. 2-525/427/2023
22.09.2023 подано в ФССП за период с 01.06.2022 по 30.04.2023 на сумму 8329,69 руб., гп. 200,00 руб., на Гладких Г. 2-493/427/2023</t>
  </si>
  <si>
    <t>Решение мирового судьи 427 с/у о взыскании с Мишукова А.Б. долга 32176,91 руб., 2020,18 пени и 1225,91 г.п.</t>
  </si>
  <si>
    <t>05.10.2023 подано в ФССП за период с 01.12.2022 по 30.04.2023 на сумму 11269,33 руб., гп. 480,54 руб. на Мингазову И.С., Федорову В.О. 2-0538/23</t>
  </si>
  <si>
    <t>28.07.2023 подано в 427 с/у за период с 01.01.2023 по 30.06.2023 на 28974,27 руб., гп. 534,62 руб., на Аксенову О.А., Изатову В.В., Козаеву А.В.</t>
  </si>
  <si>
    <t>15.08.2024 подано в 427 с/у за период: с 01.10.2023 по 31.05.2024 на 51008,56 руб., гп 865,13 на Гольцева А.С., Шатилова Н.С.</t>
  </si>
  <si>
    <t>Левченко Ирины ул., дом 7</t>
  </si>
  <si>
    <t>15.08.2024 подано в 427 с/у за период: с 01.05.2024 по 30.06.2024 на 11187,87 руб., гп 223,76 руб. на Сергееву И.Ю., Сергеева И.В., Сергеева К.И.</t>
  </si>
  <si>
    <t>Максимова ул., дом 6</t>
  </si>
  <si>
    <t>30.11.2024 с Субботиным И.А. заключен договор реструктуризации на 113 038,26 до 20.06.2025  (ежемесяч платеж 16 148,32)</t>
  </si>
  <si>
    <t>Решение 152 с/у о взыскании с Царикаевой Ж.М. за период с 01.07.2023 по 31.01.2024 суммы 16494,95 руб., 967,65 пени и гп. 659,80 руб.</t>
  </si>
  <si>
    <t>Судебный приказ на Пишину Е.М., Пишину И.Л., Пишина Д.М., Фридмана М.Ю. 2-2615/2024</t>
  </si>
  <si>
    <t>Судебный приказ на Нуралиеву Б.С., Нуралиеву Р.С., Нуралиева И.Ш. 2-1804/2024</t>
  </si>
  <si>
    <t>Малиновского маршала ул., дом 3</t>
  </si>
  <si>
    <t>11.10.2024 подано в ФССП за период с 01.02.2022 по 30.11.2023 на сумму 22933,41 руб., гп. 444,00 руб. на Прохорова В.А. 2-0416/427/2024</t>
  </si>
  <si>
    <t>15.08.2024 подано в 427 с/у за период с 01.04.2024 по 30.06.2024 на 5050,08 руб., гп 200 руб. на Михеева С.А.</t>
  </si>
  <si>
    <t>Малиновского маршала ул., дом 4</t>
  </si>
  <si>
    <t>20.11.2024 подано в ФССП за период с 01.02.2023 по 30.11.2023 на сумму 21097,73 руб., гп. 416,47 руб. на Лепилина М.В. 2-0424/2024</t>
  </si>
  <si>
    <t>22.02.2024 подано в 427 с/у за период с 01.07.2023 по 31.01.2024 на 61957,86 руб., г.п. 1029,37 руб. на Майсурадзе А.П., Майсурадзе П.А.</t>
  </si>
  <si>
    <t>15.08.2024 подано в в 427 с/у за период: с 01.06.2024 по 30.06.2024 на 4138,22 руб., гп 200 руб. на Богомолову М.А., Королькову Е.В.</t>
  </si>
  <si>
    <t>Малиновского маршала ул., дом 5</t>
  </si>
  <si>
    <t>Доронин Сергей Валерьевич находится в психиатрической больнице в г. Серпухов.</t>
  </si>
  <si>
    <t>15.08.2024 подано в 427 с/у за период с: 01.05.2024 по 30.06.2024 на 10843,12 руб., гп 216,86 руб. на Крикова В.М.</t>
  </si>
  <si>
    <t>Товмасян Ашот Хачикович умер 26.07.2023 года</t>
  </si>
  <si>
    <t>26.06.2024 приходил должник Баландин, сказал, что будет гасить долг частями по 60 т.р. ежемесясчо</t>
  </si>
  <si>
    <t>Судебный приказ на Веселовскую Э.П. 2-0157/2024</t>
  </si>
  <si>
    <t>08.12.2023 переподано заявление 427 с/у на Солонарь С.К. за период с 01.02.2022-28.02.2023 на сумму 21819,81 долга и 427,30 гп</t>
  </si>
  <si>
    <t>03.02.2023 подано в 427 с/ у за период 01.02.2022 по 31.12.2022 на 56623.67 руб., гп 949.36 руб., на Соколова К.Г.</t>
  </si>
  <si>
    <t>02.11.2023 подано в 427 с/у за период с 01.04.2023 по 30.09.2023 на сумму 13854,52 руб., гп. 277,09 руб., на Михальцову Ю.А.</t>
  </si>
  <si>
    <t>22.02.2024 подано в 427 с/у за период с 01.07.2023 по 31.01.2024 на 23541,23 руб., г.п. 453,12 руб. на Брагинскую В.В., Брагинскоого А.А.</t>
  </si>
  <si>
    <t>15.08.2024 подано в 427 с/у за период: с 01.02.2024 по 30.06.2024 на 5215,48 руб., гп 200 руб. на Мангушеву Х.Х</t>
  </si>
  <si>
    <t>22.02.2024 подано в 427 с/у за период с 01.08.2023 по 31.01.2024 на 49608,17 руб., г.п. 844,13 руб. на Грешенкова Е.В.</t>
  </si>
  <si>
    <t>Малиновского маршала ул., дом 6 к.1</t>
  </si>
  <si>
    <t>17.10.2024 заключен договор реструктуризации №50 на сумму 43095,62 до 30.10.2025</t>
  </si>
  <si>
    <t>Богацкий Денис Александрович придет 16.01.2025 заключать соглашение реструктуризации</t>
  </si>
  <si>
    <t>162</t>
  </si>
  <si>
    <t>164</t>
  </si>
  <si>
    <t>Договор о реструктуризации задолженности за жилищно-коммунальные услуги
№ 34
сумма долга 95 827 руб. 58 коп, период рассрочки с 20.03.2023 до 20.11.2023 г</t>
  </si>
  <si>
    <t>Малиновского маршала ул., дом 6 к.2</t>
  </si>
  <si>
    <t>183</t>
  </si>
  <si>
    <t>14.12.2023 подано в ФССП за период 01.03.2023 по 31.05.2023 на сумму 17802,69 руб., гп.356 руб.на Клокову К.Г.
14.12.2023 подано в ФССП за период 01.03.2023 по 31.05.2023 на сумму 17802,69 руб., гп.356 руб.на Клокову Н.Б.
14.12.2023 подано в ФССП за период 01.03.2023 по 31.05.2023 на сумму 17802,69 руб., гп.356 руб.на Целуйко Г.П.</t>
  </si>
  <si>
    <t>197</t>
  </si>
  <si>
    <t>Судебный приказ на Медведеву В.А., Тарасову З.А. 2-0142/2024</t>
  </si>
  <si>
    <t>231</t>
  </si>
  <si>
    <t>02.11.2023 подано в 427 с/у за период с 01.05.2023 по 30.09.2023 на сумму 8740,40 руб., гп. 200,00 руб., на Блинова В.П.</t>
  </si>
  <si>
    <t>261</t>
  </si>
  <si>
    <t>19.09.2024 Заключен договор о реструктуризации № 48 на сумму 62976,10 до 25.06.2025</t>
  </si>
  <si>
    <t>Малиновского маршала ул., дом 8</t>
  </si>
  <si>
    <t>Заключено Соглашение о реструктуризации № 58 на 174 913,75 рублей</t>
  </si>
  <si>
    <t>02.08.2024 подано в 427 с/у за период: с 01.06.2024 по 30.06.2024 на 4231,49 руб. гп 200 руб. на Лобанову И.В</t>
  </si>
  <si>
    <t>184</t>
  </si>
  <si>
    <t>190</t>
  </si>
  <si>
    <t>12.07.2024 подан в 427 с/у за период с 01.08.2023 по 31.05.2024 на 7671.45 руб., гп 200.00 руб., на Алиева Д.А., Алиев Д.А., Ахмедова А.У., Омарова А.Т.</t>
  </si>
  <si>
    <t>Мерецкова маршала ул., дом 2</t>
  </si>
  <si>
    <t>Судебный приказ на Угольцева А.О. 2-0417/2024</t>
  </si>
  <si>
    <t>Судебный приказ на Кондрашову Т.П. 2-532/2022</t>
  </si>
  <si>
    <t>Мерецкова маршала ул., дом 4</t>
  </si>
  <si>
    <t>15.08.2024 подано в 427 с/у за период: с 01.06.2024 по 30.06.2024 на 1485,68 руб., гп 200 руб. на Кискина В.П.</t>
  </si>
  <si>
    <t>15.08.2024 подано в 427 с/у за период: с 01.05.2024 по 30.06.2024 на 4006,27 руб., гп 200 руб. на Утарбаеву Г.М., Утарбаева М.Н.</t>
  </si>
  <si>
    <t>15.08.2024 подано в 427 с/у за период: с 01.05.2024 по 30.06.2024 на 884,53 руб. гп 200 руб. на Ахмедову Д.Н., Ахмедову Р.А., Ахмедова Н.Х., Ахмедова М.-Э. Н, Махмудову</t>
  </si>
  <si>
    <t>04.07.2024 подано в 427 с/у за период 01.12.2023 по 31.05.2024 на 17686,96 руб., гп 353,74 руб., на Кондратьеву Ю.А., Кухарь В.Е., Кухарь М.В.</t>
  </si>
  <si>
    <t>Мерецкова маршала ул., дом 5</t>
  </si>
  <si>
    <t>20.11.2024 подано в ФССП за период с 01.07.2023 по 31.01.2024 на сумму 55091,12 руб., гп. 926,37 руб. на Желнину М.М. № 2-0727/152/2024</t>
  </si>
  <si>
    <t>Мерецкова маршала ул., дом 6</t>
  </si>
  <si>
    <t>15.08.2024 подано в 427 с/у за период: с 01.04.2021 по 30.04.2021 на 693,70 руб., гп 200 руб. на Исаеву Л.Н.</t>
  </si>
  <si>
    <t>Мерецкова маршала ул., дом 8</t>
  </si>
  <si>
    <t>Мерецкова маршала ул., дом 12</t>
  </si>
  <si>
    <t>29.02.2024 подано в 427 с/у за период с 01.07.2023 по 31.01.2024 на 20166,55 руб., г.п. 402,50 руб. на КАзаевкаеву Х.М., Казавкаеву Э.П., Муталиева И.М.</t>
  </si>
  <si>
    <t>Народного Ополчения ул., дом 36</t>
  </si>
  <si>
    <t>24.01.2024 подан с/п в Сбербанк на Жилину Н.Н. 2-0851/427/2023</t>
  </si>
  <si>
    <t>02.08.2024 подано в 427 с/у за период: с 01.05.2024 по 30.06.2024 на 13910,48 руб., гп  278,21 руб. на Ладыгину В.П.</t>
  </si>
  <si>
    <t>11.10.2024 подано в ФССП за период с 01.05.2023 по 30.11.2023 на сумму 32238,89 руб., гп. 583,59 руб. на Иванова Д.Б. 2-0706/427/2024</t>
  </si>
  <si>
    <t>Народного Ополчения ул., дом 37 к.1</t>
  </si>
  <si>
    <t>04.07.2024 подано в 427с/у ха период с 01.04.2023 по 31.05.2024 на 8192.48 руб., гп 200.00. на Лукину.М.К.</t>
  </si>
  <si>
    <t>02.08.2024 подано в 427 с/у за период: с 01.04.2024 по 30.06.2024 на 2590,23 руб., гп 200 руб. на Лукину М.К.</t>
  </si>
  <si>
    <t>02.08.2024 подано в 427 с/у за период: с 01.06.2024 по 30.06.2024 на 755,89 руб, гп 200 руб. на Лукину М.К.</t>
  </si>
  <si>
    <t>17.11.2023 подано в ФССП с01.03.2023 по 31.05.2023 на сумму 27521,22 руб., г/п 512,82 на Алексеева М.Ю., Анисимову Е.В., . 02-575/427/2023</t>
  </si>
  <si>
    <t>Все жители данного помещения умерли, квартира отошла государству</t>
  </si>
  <si>
    <t>Народного Ополчения ул., дом 38 к.1</t>
  </si>
  <si>
    <t>Определение о возвращении заявления Заботина И.С.</t>
  </si>
  <si>
    <t>Судебный приказ на Гвенетадзе Н.Т. 2-1013/2024</t>
  </si>
  <si>
    <t>Народного Ополчения ул., дом 39 к.1</t>
  </si>
  <si>
    <t>Заключен договор реструктуризации долга № 49. В качестве первоначального взноса внсено 20 тыс. руб Срок окончания договора 22.07.2025. Первые месяцы договора ежемесячные платежи 3696,09, с 01.2025 7595,09 руб.</t>
  </si>
  <si>
    <t>Поступила оплата по договору № 32 в размере 2415,26 руб.</t>
  </si>
  <si>
    <t>Народного Ополчения ул., дом 40 к.1</t>
  </si>
  <si>
    <t>29.08.2024 подано в 427 с/у за период: с 01.05.2024 по 30.06.2024 на 8096,72 руб. гп 200,00 руб. на Навасардян А.А.</t>
  </si>
  <si>
    <t>Народного Ополчения ул., дом 41</t>
  </si>
  <si>
    <t>Собственник 1/2доли Мерзличенко Андрей Григорьевич, 10.04.1988 г.р., проживает по адресу: 414009, г.Астрахань, Брянский пер., дом 23.</t>
  </si>
  <si>
    <t>02.08.2024 подано в 427 с/у за период: с 01.08.2023 по 30.06.2024 на 15535,13 руб., гп 310,71 руб. на Плохотникову Е.С., Плохотникову Т.К., Плохотникова С.А.</t>
  </si>
  <si>
    <t>Судебный приказ на Киселева Р.Ю. 2-526/2022</t>
  </si>
  <si>
    <t>03.02.2023 подано в 427 с/у за период с 01.12.2021 по 31.12.2022 на 18940.52 руб., гп 378.81 руб., на Ерастова М.Е.</t>
  </si>
  <si>
    <t>до 11.02.2023 должник обещал погасить весь долг</t>
  </si>
  <si>
    <t>Народного Ополчения ул., дом 42 к.1</t>
  </si>
  <si>
    <t>Судебный приказ на Овсянникова В.К. 2-1033/2024</t>
  </si>
  <si>
    <t>14.03.2023 подано в 427 с/у за период с 01.12.2021 по 31.07.2022 на 8357,50 руб., гп. 200 руб., на Андреева Р.С.</t>
  </si>
  <si>
    <t>114</t>
  </si>
  <si>
    <t>Договор реструктуризации № 40 на сумму 56 817,75 руб.</t>
  </si>
  <si>
    <t>05.10.2023 подано в 427 с /у за период с 01.05.2023 по 30.09.2023 на 26361,34 руб., гп. 495,42 руб., на Пахомову Н.А.</t>
  </si>
  <si>
    <t>Судебный приказ на Бусько Е.А.. Газаминов А.С. 2-0452/2024</t>
  </si>
  <si>
    <t>201</t>
  </si>
  <si>
    <t>218</t>
  </si>
  <si>
    <t>Судебный приказ на Ворохалов М.В, Шахбазян С.Л. 2-0883/2024</t>
  </si>
  <si>
    <t>221</t>
  </si>
  <si>
    <t>Судебный приказ на Игнатову Н.А. 2-1034/2024</t>
  </si>
  <si>
    <t>226</t>
  </si>
  <si>
    <t>Поступила оплата в общей сумме  18800,84 руб.</t>
  </si>
  <si>
    <t>251</t>
  </si>
  <si>
    <t>22.02.2024 подано в 427 с/у за период с 01.03.2023 по 31.01.2024 на 74173,49 руб., г.п. 1212,60 руб. на Райского Д.Е.</t>
  </si>
  <si>
    <t>Народного Ополчения ул., дом 42 к.2</t>
  </si>
  <si>
    <t>Судебный приказ на Никитину Н.В., Кондрахину Т.С. 02-0524/427/22</t>
  </si>
  <si>
    <t>Судебный приказ на Петухову Е.Д., Петухову Н.В. 2-0432/2024</t>
  </si>
  <si>
    <t>Народного Ополчения ул., дом 42 к.3</t>
  </si>
  <si>
    <t>Судебный приказ на Ветрову С.Ю., Соловьеву О.Д. 02-0781/427/2024</t>
  </si>
  <si>
    <t>29.08.2024 подано в 427 с/у за период: с 01.06.2024 по 30.06.2024 на 3509,69 руб., гп 200.00 руб. на Лянчук И.С.</t>
  </si>
  <si>
    <t>Народного Ополчения ул., дом 44 к.1</t>
  </si>
  <si>
    <t>29.08.2024 подано в 427 с/у за период: с 01.05.2024 по 30.06.2024 на 9471,44 руб.. гп 200 руб. . на Расулову З.А., Расулова Г.Ю.</t>
  </si>
  <si>
    <t>105</t>
  </si>
  <si>
    <t>Судебный приказ на Алексееву Н.К. 2-1015/2024</t>
  </si>
  <si>
    <t>01.09.22 приходил должник, принес 2 платежки на общую сумму 19 т.р.</t>
  </si>
  <si>
    <t>выписка егрн
Личности: Асанидзе Иване Теймуразович
День рождения: 15.01.1989, 36 лет (Козерог)
Телефон: 79258538803, 79164474788, 79856819590, 79175864966, 79850857987, 79652372627
Email: ait7@list.ru, knopa-flowers@yandex.ru
Транспорт: В550НК799, К777РК177, С099УМ197, Е308ХР48
Водительское удостоверение: имеется
Город: Москва (100%)
ИНН: 773377736795
Статус ИП: ликвидировано
Участие в ЮЛ: ООО «ГК »ТРЕСТ" (ИНН 9722089075), ООО «ВАНГАРД ПРОПЕРТИЗ» (ИНН 7734432769), ФГУП АПТЕКА КБ №83 ФМБА РОССИИ (ИНН 7724030595), ФГБУЗ ГМЦМР «РЕЗЕРВ» ФМБА РОССИИ (ИНН 7704150703)
Результаты скоринга:
- Долги ФССП: 2020, 2023, 2014, 2021, 2016, 2019, 2018, 2017</t>
  </si>
  <si>
    <t>Народного Ополчения ул., дом 44 к.2</t>
  </si>
  <si>
    <t>Заключен договор реструктуризации долга № 5 на срок 5 мес. Дата окончания 02.07.2025. Первоначальный взнос 6 тыс. руб Ежемесячный платеж 2657,44 руб.</t>
  </si>
  <si>
    <t>02.08.2024 подано в 427 с/у за период: с 01.04.2024 по 30.06.2024 на 15166,53 руб. .гп 302.33 руб. на Мороз И.В., Мороз И.В., Суцепину В.А</t>
  </si>
  <si>
    <t>17.08.2023 приходил должник: Сергеева Нина Алексеевна.
С ее слов она является ветераном труда.</t>
  </si>
  <si>
    <t>Народного Ополчения ул., дом 45</t>
  </si>
  <si>
    <t>29.08.2024 подано в 427 с/у за период: с 01.06.2024 по 30.06.2024 на 4770.22 руб.,гп 200.00 руб. на Ширшина М.В.</t>
  </si>
  <si>
    <t>Судебный приказ на Баринова А.Ю., Баринова Г.А. 2-0699/2024</t>
  </si>
  <si>
    <t>11.12.2024 заключен договор реструктуризации на сумму 22852,30 до 24.09.2025</t>
  </si>
  <si>
    <t>Народного Ополчения ул., дом 48 к.1</t>
  </si>
  <si>
    <t>12.12.2024 подано в ФССП за период с 01.05.2024 по 30.06.2024 на сумму 5794,80 руб., гп. 200,00 руб. на Ясина А.Е. 2-1775/2024</t>
  </si>
  <si>
    <t>Народного Ополчения ул., дом 49 к.1</t>
  </si>
  <si>
    <t>02.08.2024 подано в 152 с/у за период с 01.03.2024 по 30.06.2024 на 21849.16 руб., гп 427.74 руб., на Болячин А.В.</t>
  </si>
  <si>
    <t>04.08.2023 подано в ФССП за период с 01.01.2023 по 31.03.2023 на сумму 5815,42 руб., гп. 200,00 руб., на Дакалову П.А., Ганжуева Л.А., Дакалова М.В., Дакалова Х.М.</t>
  </si>
  <si>
    <t>подано в ФССП за период с 01.01.2023-30.09.2023 на сумму 2389,01 г.п. 349,47 на Дакалову З.В,, Дакалову П.А., Дакалову Х.В., Дакалова В.Х., Дакалова М.В., Дакалова С.В., Тайсаеву Х,Т. 02-1637-152/2023</t>
  </si>
  <si>
    <t>21.10.2024 подано заявление о возбуждении ИП в ФССП России за период: с 01.01.2024 по 30.06.2024 на сумму долга 9990,63 руб. гп 200,00 в отношении Ореховой М.Н. № 2-2006/152/2024</t>
  </si>
  <si>
    <t>07.02.2025 подано заявление в ФССП России об отзыве с исполнения ИД 2-2003/152/2024</t>
  </si>
  <si>
    <t>Народного Ополчения ул., дом 54</t>
  </si>
  <si>
    <t>11.10.2024 подано в ФССП за период с 01.07.2023 по 30.09.2023 на сумму 19962,19 руб., гп. 399,25 руб. на Добину М.В., Добина И.Н. 2-1769/152/2024</t>
  </si>
  <si>
    <t>Судебный приказ № 2-2045/152/2024 на Камышева А.И.</t>
  </si>
  <si>
    <t>Новикова маршала ул., дом 2 к.2</t>
  </si>
  <si>
    <t>Судебный приказ Донован И.В. 2-695/22</t>
  </si>
  <si>
    <t>119</t>
  </si>
  <si>
    <t>12.12.2024 подано в ФССП за период с 01.11.2023 по 31.05.2024 на сумму 10821,87 руб., гп. 216,44 руб. на Писарева И.А. 2-1796/152/2024</t>
  </si>
  <si>
    <t>Новикова маршала ул., дом 4 к.1</t>
  </si>
  <si>
    <t>15.09.2023 отозвано из ФССП</t>
  </si>
  <si>
    <t>22.11.2022 подано в ФССП за период с 01.06.2004 по 30.04.2022 на сумму 652,81 гп на Иванову Т.К. 2-618/22</t>
  </si>
  <si>
    <t>Решение от 01.10.2024 на сумму  32 921,54; с 01.04.2023г. по 30.04.2024г., гос.пошлина 1804, 22 рублей</t>
  </si>
  <si>
    <t>Судебный приказ на Воронова А.К., Колесникова О.К., Лебедеву О.С., Лебедева М.Д., Матвееву Е.А.., Цодикович Д.А. 2-1420/2024</t>
  </si>
  <si>
    <t>Письмо из ПАО Сбербанк. Судебный приказ № 29541/2024 исполнен частично</t>
  </si>
  <si>
    <t>Апелляционное определение по делу №2-661/2024 за период с 01.02.2022 по 30.06.2023 на сумму 67359,48 руб., пени 7668,58, гп. 3936,48</t>
  </si>
  <si>
    <t>09.04.2024 подано в Сбербанк на Лебедева Г.А.  на сумму 35474,03 руб.</t>
  </si>
  <si>
    <t>Новикова маршала ул., дом 4 к.2</t>
  </si>
  <si>
    <t>Судебный приказ на Иванникова С.Б. 2-1421/2024</t>
  </si>
  <si>
    <t>Новикова маршала ул., дом 6 к.1</t>
  </si>
  <si>
    <t>09.08.2024 подано в ФССП за период с 01.08.2023 по 31.01.2024 на сумму 14584,30 руб., гп. 291,69 руб. наПрищепу О.Э. № 2-631/2024</t>
  </si>
  <si>
    <t>02.07.2024 подано в 150 с/у за период с 01.05.2024 по 31.05.2024 на сумму 3647,45, гп. 200,00, на Радимову Е.П.</t>
  </si>
  <si>
    <t>Заключен договор о реструктуризации задолженности № 59 на срок 7 мес. Последняя оплата по договору 20.06.2025 Ежемесячный платеж 16148,32 руб.</t>
  </si>
  <si>
    <t>Квартира сдана по программе реновации в 2022 году</t>
  </si>
  <si>
    <t>Новый Собственник кв № 59 Добровинская Станислава Валентиновна</t>
  </si>
  <si>
    <t>Новикова маршала ул., дом 6 к.2</t>
  </si>
  <si>
    <t>Судебный приказ на Митасов Д.А. 2-1302/2024</t>
  </si>
  <si>
    <t>Новикова маршала ул., дом 8 к.1</t>
  </si>
  <si>
    <t>12.07.2024 подано в 150 с/у за период с 01.04.2021 по 31.07.2022 на сумму 2720,56 руб., гп 200,00 на Латышеву О.А., Мартишина Д.С.., Павлову Н.А., Серову Л.Д., Серова И.в., Серова К.И.</t>
  </si>
  <si>
    <t>15.08.2024 подано в 150 с/у за период: с 01.05.2023 по 29.02.2024 на 7091,66 руб., гп 200 руб. на Михалеву Н.В.</t>
  </si>
  <si>
    <t>Новикова маршала ул., дом 8 к.2</t>
  </si>
  <si>
    <t>08.12.2023 заявление о возврате государственной пошлины с Больбат В.В.</t>
  </si>
  <si>
    <t>15.08.2024 подано в 150 с/у за период: с 01.01.2024 по 30.06.2024 на 10654,50 руб. гп 213,09 руб. на Кудрявицкцю А.И.</t>
  </si>
  <si>
    <t>Новикова маршала ул., дом 8 к.3</t>
  </si>
  <si>
    <t>Судебный приказ на Залетову Я.Ю. 2-1299/2024</t>
  </si>
  <si>
    <t>Судебный приказ на Тоцкого В.Н. 2-1144/21</t>
  </si>
  <si>
    <t>27.05.2024 подано в банк на сумму, на Кудинова Е.Е., 2-509/2024</t>
  </si>
  <si>
    <t>02.08.2024 подано в 150 с/у за период с 01.06.2024 по 30.06.2024 на 4918.60 руб., гп 200.00 руб., на Гайчевская Г.В., Лаленкова В.В., Лаленкова Ю.Е., Петрова Н.В.</t>
  </si>
  <si>
    <t>02.08.2024 подано в 150 с/у за период с 01.05.2024 по 31.05.2024 на 930.27 руб., гп 200.00 руб., на Коробейникова Н.В.</t>
  </si>
  <si>
    <t>Новикова маршала ул., дом 10 к.1</t>
  </si>
  <si>
    <t>Территориальный отдел по вопросам опеки и попечительства, куратор Вологирова Ирина Хаутиевна, тел.:8-926-148-05-44</t>
  </si>
  <si>
    <t>Новикова маршала ул., дом 11</t>
  </si>
  <si>
    <t>09.08.2024 подано в 151 с/у за период: с 01.01.2024 по 29.02.2024 на 15839,40 руб. , гп 316,79 руб.</t>
  </si>
  <si>
    <t>Новикова маршала ул., дом 12 к.1</t>
  </si>
  <si>
    <t>26.05.2023 подано в ФССП за период с 01.08.2021 по 31.08.2021 на сумму 8873,86 руб., гп. 200,00 руб. на Мякотину В.Н. 2-369/23</t>
  </si>
  <si>
    <t>Новикова маршала ул., дом 15</t>
  </si>
  <si>
    <t>04.07.2024 подано в 151 с/у за период с 01.01.2024 по 30.04.2024 на 6820,26 рублей., гп 200,00 рублей., на Егоршину Е.Л.</t>
  </si>
  <si>
    <t>04.07.2024. подано в 151 с/у за период с 01.08.2023 по 31.05.2024 на 6135,28 рублей., гп 200,00., на Немну П.В.</t>
  </si>
  <si>
    <t>Судебный приказ № 02-1647/2024 от 04.09.2024 на сумму 13491,56</t>
  </si>
  <si>
    <t>Новикова маршала ул., дом 16</t>
  </si>
  <si>
    <t>07.12.2023 заключен договор о реструктуризации №121</t>
  </si>
  <si>
    <t>12.07.2024 подано в 150 с/у за период с 01.10.2023 по 31.10.2023 на 3119,20 руб. гп 200 руб. на Светикову Ю.В.,Светикова М.М., Чегину Л.Н., Чегина В.С., Чегина И.В.</t>
  </si>
  <si>
    <t>Новикова маршала ул., дом 18</t>
  </si>
  <si>
    <t>15.08.2024 подано в 150 с/у за период: с 01.02.2024 по 30.06.2024 на 28483,71 руб. гп 527,26 руб. на Стамбулийскую И.Н.</t>
  </si>
  <si>
    <t>Новикова маршала ул., дом 19 к.1</t>
  </si>
  <si>
    <t>1.03.2024 подано в ФССП  за период 01.11.2022-30.06.2023 на сумму 19079,54 р. г/п. 381.59 р. судебный приказ №2-1563/2023 на Брыкина С.С.</t>
  </si>
  <si>
    <t>На Серегина Людмила Николаевна, 01.08.2012 по 31.03.2021, на сумму 9589,69, гп. 200,00</t>
  </si>
  <si>
    <t>06.09.2024 подано в 151 с/у за период: с 01.05.2024 по 30.06.2024 на сумму 6901.27 руб., 200,00 руб. на Бирюкову О.В., Квижинадзе Г.М., Квижинадзе С.М., Квижинадзе Эка</t>
  </si>
  <si>
    <t>Новикова маршала ул., дом 19 к.2</t>
  </si>
  <si>
    <t>22.12.2023 подано в ФССП за период с 01.03.2023 по 30.06.2023 на 16747,79 руб., гп. 334,96 руб. на Иванина Е.В., Чугунову Н.С.</t>
  </si>
  <si>
    <t>02.08.2024 подано в 151 с/у за период с 01.05.2024 по 30.06.2024 на 3310.30 руб., гп 200.00 руб., на Стойкова Л.М.</t>
  </si>
  <si>
    <t>02.08.2024 подано в 151 с/у за период: 01.06.2024 по 30.06.2024 на 1475,09 руб. гп 200 руб. на Калинину М.В., Калинина Н.Ю., Халитову А.А</t>
  </si>
  <si>
    <t>Новикова маршала ул., дом 20</t>
  </si>
  <si>
    <t>Судебный приказ Чугункиной М.П. 2-175/23</t>
  </si>
  <si>
    <t>Новощукинская ул., дом 1</t>
  </si>
  <si>
    <t>21.06.2022 подано в 150 с/у за период с 01.06.2004 по 31.05.2022 на 15 032,98 руб., гп 300,66 руб., на Зуеву В.З.</t>
  </si>
  <si>
    <t>29.08.2024 подано в 150 с/у за период: с 01.05.2024 по 30.06.2024 на 2098,24 руб., гп 200 руб. на Григорьеву Л.Н.</t>
  </si>
  <si>
    <t>09.08.2024 подано в ФССП за период с 01.08.2023 по 31.01.2024 на сумму 68491,50 руб., гп. 1127,37 руб. на Сивохина В.В., Скребневу Л.Н. № 2-517/2024</t>
  </si>
  <si>
    <t>Новощукинская ул., дом 2</t>
  </si>
  <si>
    <t>Жительница инвалид, просила не ограничивать в предоставлении коммунальных услуг. Приставы взыскивают с пенсии</t>
  </si>
  <si>
    <t>соглашение о реструктуризации не заключать.</t>
  </si>
  <si>
    <t>29.08.2024 подано в 150 с/у за период: с 01.06.2024 по 30.06.2024 на 14381,75 руб. гп 287,64 руб. на Гунченко Ю.К., Холодкову И.А., Холодкова А,К,, Холодкова К.А.</t>
  </si>
  <si>
    <t>Отмена судебного приказа 2-1352/2024 от 04.09.2024, за период 01.06.2024 по 30.062024, на сумму 23046,11, гос.пошлина 445,69</t>
  </si>
  <si>
    <t>96</t>
  </si>
  <si>
    <t>02.11.2024 Заключен договор о реструктуризации № 52 на 139494,46</t>
  </si>
  <si>
    <t>Звонила должница, сказала, что полностью оплатила долг, квитанции направила на почту</t>
  </si>
  <si>
    <t>143</t>
  </si>
  <si>
    <t>09.08.2024 подано в ФССП за период с 01.02.2022 по 31.01.2024 на сумму 45155,97 руб., гп. 777,34 руб. на Трусова В.А., 2-515/2024</t>
  </si>
  <si>
    <t>Новощукинская ул., дом 3</t>
  </si>
  <si>
    <t>02.07.2024 подано в 150 с/у за период с 01.12.2023 по 29.02.2024 на сумму 14306,78, гп. 286,14, на Удалова К.В.</t>
  </si>
  <si>
    <t>15.09.2023 подано в ФССП за период с 01.04.2023 по 30.04.2023 на 4410.47 руб., гп 200.00 руб., на Конусов А.Г., Конусова П.К., Конусов Г.В.</t>
  </si>
  <si>
    <t>15.09.2023 подано в ФССП за период с 01.01.2006 по 30.04.2023 на 22365.43 руб., гп 435.48 руб., на Касимова С.Ю., Турсунова С.Ф.</t>
  </si>
  <si>
    <t>Новощукинская ул., дом 4</t>
  </si>
  <si>
    <t>08.12.2023 заявление о возврате государственной пошлины с Макарову Е.В., Макарова В.Н.</t>
  </si>
  <si>
    <t>10.06.2024 подано в банк на сумму 2099,79, на Дмитрову Р.И., Михайлова М.И., Чарская Н.В., 2-636/2024</t>
  </si>
  <si>
    <t>09.08.2024 подано в ФССП за период с 01.08.2023 по 31.01.2024 на сумму 21401,97 руб., гп. 421,03 руб. на Постнову А.В., Постнову К.С., Постнова А.В № 2-510/2024</t>
  </si>
  <si>
    <t>28.02.2024 судебный приказ 2-1668/2023 на Волнухину Г.С. на сумму 94953,54 руб., направлен в банк</t>
  </si>
  <si>
    <t>91</t>
  </si>
  <si>
    <t>01.12.2023 подано в ФССП за период 01.09.2022 по 30.06.2023 на сумму 20962,01 руб., г/п 492,78 руб., на Антонову А.А.
01.12.2023 подано в ФССП за период 01.09.2022 по 30.06.2023 на сумму 20962,01 руб., г/п 492,78 руб., на Антонова А.А.
01.12.2023 подано в ФССП за период 01.09.2022 по 30.06.2023 на сумму 20962,01 руб., г/п 492,78 руб., на Волкович М.В.</t>
  </si>
  <si>
    <t>02.08.2024 подано в 150 с/у за период с 01.06.2024 по 30.06.2024 на 2380.19 руб., гп 200.00 руб., на Паничев А.М., Паничев Е.А., Паничев М.М.</t>
  </si>
  <si>
    <t>15.08.2024 подано в 150 с/у за период: с 1.05.2024 по 30.06.2024 на 8372,04 руб, гп 200 руб. на Зайцева А.Ю., Кульпинову Т.Б., Кульпинова В.А.,, Спицыну Т.В.</t>
  </si>
  <si>
    <t>Определение об отмене судебного приказа № 21402/2024 от 28.08.2024, за период 01.2024 по 30.06.2024, на сумму 45683,88, гос.пошлина 785,26.</t>
  </si>
  <si>
    <t>142</t>
  </si>
  <si>
    <t>27.05.2024 подано в банк на сумму 33142,54, на Минаева С.В., 2-512/2024</t>
  </si>
  <si>
    <t>154</t>
  </si>
  <si>
    <t>155</t>
  </si>
  <si>
    <t>26.07.2024 подано в 150 с/у за период с 01.01.2024 по 30.06.2024 на 29976.75 руб., гп 549.65 руб., на Оглоблина Н.Н.</t>
  </si>
  <si>
    <t>Новощукинская ул., дом 5</t>
  </si>
  <si>
    <t>Определение об отмене судебного приказа №2-1298/2024 от 02.09.2024, за период 01.06.2024 по 30.06.2024, на сумму 2004,71, гос.пошлина 200,00</t>
  </si>
  <si>
    <t>28.11.2023 заключен договор реструктуризации №118</t>
  </si>
  <si>
    <t>Письмо из ПАО Сбербанк РоссииИЛ 2-184/2 в отношении Новоселова И.В., Мартыновой А.В исполнен</t>
  </si>
  <si>
    <t>02.07.2024 подано в 150 с/у за период с 01.07.2023 по 31.05.2024 на сумму 21639,94, гп. 424,60, на Лаухину К.С</t>
  </si>
  <si>
    <t>Судебный приказ на Федорову Е.В., Федорову С.Ю., Федорова А.В. 2-1428/2024</t>
  </si>
  <si>
    <t>23.08.2024 подано в 150 с/у за период: с 01.05.2024 по 30.06.2024 на 4898,73 руб., гп 200 руб. на Мастина В.И.</t>
  </si>
  <si>
    <t>Судебный приказ на Жаронова Ф.А., Салахитдинову Л.Ф. 2-1303/2024</t>
  </si>
  <si>
    <t>02.07.2024 подано в 150 с/у за период с 01.01.2023 по 31.05.2024 на сумму 10842,34, гп. 216,85, на Березинец Е.А., Лукьянову Л.А.</t>
  </si>
  <si>
    <t>На Лебедь Владимир Григорьевич, Лучникова Татьяна Сергеевна, с 01.08.2017 по 28.02.2021, на сумму 157841,12, гп. 2178,41
Участок №150, Дата 24.03.2021г.</t>
  </si>
  <si>
    <t>28.11.2024 подано в ФССП за период с 01.08.2023 по 31.01.2024 на сумму 27517,90 руб., гп. 512,77 руб. на Векшенкова П.Б. № 2-1484/2024</t>
  </si>
  <si>
    <t>02.08.2024 подано в 150 с/у за период с 01.05.2024 по 31.05.2024 на 3673.93 руб., гп 200.00 руб., на Юшкин Р.Л.</t>
  </si>
  <si>
    <t>26.07.2024 подано в 150 с/у за период с 01.02.2024 по 30.06.2024 на 6185.93 руб., гп 200.00 руб., на Горохова Н.А.</t>
  </si>
  <si>
    <t>08.12.2023 подано в ФССП за период 01.04.2023-30.06.2023 на сумму 16253,08 руб., г/п 325,06 руб., на Конон А.Г. 2-1335/2023
08.12.2023 подано в ФССП за период 01.04.2023-30.06.2023 на сумму 16253,08 руб., г/п 325,06 руб., на Конон Г.И. 2-1335/2023
08.12.2023 подано в ФССП за период 01.04.2023-30.06.2023 на сумму 16253,08 руб., г/п 325,06 руб., на Конон Д.Г. 2-1335/2023
08.12.2023 подано в ФССП за период 01.04.2023-30.06.2023 на сумму 16253,08 руб., г/п 325,06 руб., на Конон К.Г. 2-1335/2023
08.12.2023 подано в ФССП за период 01.04.2023-30.06.2023 на сумму 16253,08 руб., г/п 325,06 руб., на Конон Н.Н. 2-1335/2023</t>
  </si>
  <si>
    <t>Новощукинская ул., дом 8</t>
  </si>
  <si>
    <t>29.08.2024 подано в 150 с/у за период: с 01.06.2024 по 30.06.2024 на 1686,79 руб. гп 200,00 руб. на Умарова М.-Али Орибжон угли, Умарова Т.О., на 1686,84 руб, гп 200 руб. на Умарова О.А., Умарова Т.О, на 1686,84 руб., гп 200 руб. на Умарова А.-О. угли, Умарова Т.О.</t>
  </si>
  <si>
    <t>23.08.2024 подано в 150 с/у за период: с 01.05.2024 по 30.06.2024 на 2726,16 руб., гп 200,00 руб. на Ведяшкина А.С.</t>
  </si>
  <si>
    <t>148</t>
  </si>
  <si>
    <t>14.05.2024 подано исковое заявление в мировой суд 377 с/у о взыскании с Корнеевой Е.Н. за период с 01.01.2022-28.02.2023 на сумму 41078,54 руб., пени 7322,25 руб. и 1432,36 гп.</t>
  </si>
  <si>
    <t>177</t>
  </si>
  <si>
    <t>210</t>
  </si>
  <si>
    <t>Собственник по программе реновации переехал с адреса: ул. Живописная, д. 34, к.1, кв. 43</t>
  </si>
  <si>
    <t>224</t>
  </si>
  <si>
    <t>278</t>
  </si>
  <si>
    <t>291</t>
  </si>
  <si>
    <t>292</t>
  </si>
  <si>
    <t>разделены коды плательщика, второй собственник платит регулярно (долга нет). Водоограничение не устанавливать.</t>
  </si>
  <si>
    <t>294</t>
  </si>
  <si>
    <t>305</t>
  </si>
  <si>
    <t>23.08.2024 подано в 150 с/у на период: с 01.06.2024 по 30.06.2024 на 7539,24 руб., гп 200 руб. на Доля-Плонскую В.Н., Доля-Плонскую О.А.</t>
  </si>
  <si>
    <t>Новощукинская ул., дом 9</t>
  </si>
  <si>
    <t>23.08.2024 подано в 151 с/у за период: с 01.05.2024 по 30.06.2024 на 8632,26 руб., гп 200 руб. на Гороховую Т.В.</t>
  </si>
  <si>
    <t>1.03.2024 подано в ФССП за период 01.03.2023-31.08.2023 на сумму 13257,65 р. г/п. 265,16 р. судебный приказ №2-1606/151/2023 на Самолетову Н.В.</t>
  </si>
  <si>
    <t>09.11.2023 подано в ФССП за период с 01.10.2021 по 28.02.2023 на Равнова АА на сумму 15 049,24 и 300,98 гп</t>
  </si>
  <si>
    <t>Судебный приказ на Козырева И. К.</t>
  </si>
  <si>
    <t>Новощукинская ул., дом 10 к.2</t>
  </si>
  <si>
    <t>01.12.2023 подано в ФССП за период с 01.01.2023 по 31.08.2023 на сумму 25229,76руб., гп. 487,45руб. на Кононову (Смолякова) К.Н. 2-1303/2023
01.12.2023 подано в ФССП за период с 01.01.2023 по 31.08.2023 на сумму 25229,76руб., гп. 487,45руб. на Левченко В.А. 2-1303/2023</t>
  </si>
  <si>
    <t>Письмо из ПАО Сбербанк в отношении Титова Н.А. об отказе в исполнении ИД</t>
  </si>
  <si>
    <t>Новощукинская ул., дом 11</t>
  </si>
  <si>
    <t>23.08.2024 подано в 151 с/у за период: с 01.05.2024 по 30.06.2024 на 7966,56 руб., гп 200 руб. на Рязанцеву Н.В.</t>
  </si>
  <si>
    <t>Приходила Алексеева Л.В.. Оплатила в связи с получением приказа на  
            госуслугах</t>
  </si>
  <si>
    <t>Новощукинская ул., дом 12</t>
  </si>
  <si>
    <t>В суд не подавать  Афанасьев Ю.Е.  умер</t>
  </si>
  <si>
    <t>31.05.2024 подано в банк на сумму 16060,82, на Натяжкина Д.О., 2-511/2024</t>
  </si>
  <si>
    <t>26.07.2024 подано в 150 с/у за период с 01.05.2024 по 30.06.2024 на 6641.58 руб., гп 200.00 руб., на Киселева И.Н., Киселев О.И.</t>
  </si>
  <si>
    <t>Новощукинская ул., дом 14</t>
  </si>
  <si>
    <t>23.08.2024 подано в 150 с/у за период: с 01.05.2024 по 30.06.2024 на 6114,28 руб., гп 200 руб. на Митрофанову В.Н.
. Умерова А.А. Умерова А.Ф.</t>
  </si>
  <si>
    <t>26.05.2023 подано в ФССП за период с 01.10.2021 по 31.08.2022 на сумму 38206,44 руб., гп. 673,10 руб. на Кузнецова А.В. 2-204/23</t>
  </si>
  <si>
    <t>Новощукинская ул., дом 16</t>
  </si>
  <si>
    <t>Новощукинская ул., дом 18 к.1</t>
  </si>
  <si>
    <t>Поступила оплата по договору № 39 в размере 6 000 руб.</t>
  </si>
  <si>
    <t>29.05.2024 подано в банк на сумму 69504,16, на Даневич Е.А., 2-518/2024</t>
  </si>
  <si>
    <t>02.08.2024 подано в 150 с/у за период с 01.05.2024 по 30.06.2024 на 6869.32 руб., гп 200.00 руб., на Лебедева Е.А.</t>
  </si>
  <si>
    <t>Новощукинская ул., дом 20</t>
  </si>
  <si>
    <t>Определение об отмене судебного приказа № 2-1415/2024 от 04.09.2024, за период 01.05.2024 по 30.06.2024 в размере 22040,24, гос.пошлина 430,61</t>
  </si>
  <si>
    <t>26.07.2024 подано в 150 с/у за период с 01.04.2024 по 30.06.2024 на 14675.79 руб., гп 293.52 руб., на Чернецкая Н.Л.</t>
  </si>
  <si>
    <t>Новощукинская ул., дом 22</t>
  </si>
  <si>
    <t>Собственник Аверьянова Наталья Львовна умерла в 2020 году, в права наследования на квартиру вступил Аверьянов Павел Борисович, тел. 8-985-948-98-50</t>
  </si>
  <si>
    <t>22.11.2022 подано в ФССП за период с 01.12.2004 по 31.05.2022 на сумму г.п. 664,09 руб. на Пилсудскую Н.Н., Пилсудского П.А., Пилсудскую Н.А. 2-735/22</t>
  </si>
  <si>
    <t>09.08.2024 подано в ФССП за период с 01.04.2023 по 31.01.2024 на сумму 23294,44 руб., гп. 449,42 руб. на Агроника Д.А. № 2-611/2024</t>
  </si>
  <si>
    <t>Расплетина ул., дом 1</t>
  </si>
  <si>
    <t>Соглашение о реструктуризации № 1</t>
  </si>
  <si>
    <t>26.07.2024 подано в 151 с/у за период с 01.05.2024 по 30.06.2024 на 2531.16 руб., гп 200.00 руб., на Костиков Ю.И.</t>
  </si>
  <si>
    <t>23.08.2024 подано в 151 с/у за период: с 01.05.2024 по 30.06.2024 на 7452,41 руб.,  гп 200 руб. на Ермолаева А.В.</t>
  </si>
  <si>
    <t>Расплетина ул., дом 2</t>
  </si>
  <si>
    <t>29.08.2024 подано в 427 с/у за период: с 01.05.2024 по 30.06.2024 на 14923,65 руб., гп 298,48 руб. на Лактионова Н.К.</t>
  </si>
  <si>
    <t>04.07.2024 подано в 427 с/у за период с 01.11.2021 по 31.08.2022 на 2806,35 руб., гп. 221,05 руб., на Лопатина А.В.</t>
  </si>
  <si>
    <t>29.08.2024 подано в 427 с/у за период: с 01.05.2024 по 30.06.2024 на 4741,18 руб. гп 200,00 руб. на Дробышеву М.В., Дробышева Р.Ю.</t>
  </si>
  <si>
    <t>29.02.2024 подано в 427 с/у за период с 01.09.2023 по 31.01.2024 на 18722,32руб., г.п. 374,45 руб. на Козицкого А.Б. Козицкого Н.А.</t>
  </si>
  <si>
    <t>подано в ФССП за период с 01.12.2020-30.06.2023 на сумму 25413,20 г.п. 481,20 на Гришину А.Г. 02-0852/427/2023</t>
  </si>
  <si>
    <t>27.10.2023 подано в ФССП за период с 01.11.2022 по 31.05.2023 на сумму 17433,98 руб., 348,68 гп, на Большакову В.А., Мурныкина А.Д., Мурникину М.А., Мурныкину Т.М.</t>
  </si>
  <si>
    <t>оплачено 13.05.2023  21 707,15</t>
  </si>
  <si>
    <t>133</t>
  </si>
  <si>
    <t>15.08.2024 поданл в 427 с/у за период: с 01.05.2024 по 30.06.2024 на 14176,64 руб., гп 283,54 руб. на Печерскую Г.А., Сохадзе Т.Т</t>
  </si>
  <si>
    <t>Расплетина ул., дом 3 к.2</t>
  </si>
  <si>
    <t>06.11.2024 подано в ФССП за период с 01.05.2024 по 30.06.2024 на сумму 26843,98 руб., гп. 502,66 руб. наЗайцева В.Е. № 2-1490/2024</t>
  </si>
  <si>
    <t>22.05.2023 оплатил 15 000 руб. 
Оставшийся долг оплатит до 22.06.2023, в том числе платеж за май</t>
  </si>
  <si>
    <t>Определение об отмене судебного приказа Гурьева Е.В., Мозолькина В.А. 2-1136/2023</t>
  </si>
  <si>
    <t>04.07.2024 подано в 151 с/у за период с 01.03.2024 по 30.04.2024 на 4860,49 рублей., гп 200,00 рублей., на Анникову В.А.
04.07.2024 подано в 151 с/у за период с 01.03.2024 по 30.04.2024 на 4860,49 рублей., гп 200,00 рублей., на Данилову И.А</t>
  </si>
  <si>
    <t>04.07.2024 подано в 151 с/у за период с 01.11.2023 по 31.05.2024 на 18999,10 рублей., гп 379,98 рублей., на Сапрыкина А.В.,Славенасу Р.И.</t>
  </si>
  <si>
    <t>02.08.2024 подано в 151 с/у за период с 01.03.2024 по 30.04.2024  на 3143,28 руб.  на Кадрханова А.О.</t>
  </si>
  <si>
    <t>06.11.2024 подано в ФССП за период с 01.05.2024 по 30.06.2024 на сумму 26843,98 руб., гп. 502,66 руб. на на Доброседова М.В. 2-1491/2024</t>
  </si>
  <si>
    <t>Расплетина ул., дом 3 к.3</t>
  </si>
  <si>
    <t>Родственник собственника 8-991-061-27-82 Сергей. Он платит за свою бабушку</t>
  </si>
  <si>
    <t>28.11.2024 подано в ФССП за период с 01.10.2023 по 31.10.2023 на сумму 7510,20 руб., гп. 200,00 руб. на Бределеву Л.Ю., Лебедеву А.П.  № 02-1696/151/2024</t>
  </si>
  <si>
    <t>159</t>
  </si>
  <si>
    <t>161</t>
  </si>
  <si>
    <t>170</t>
  </si>
  <si>
    <t>176</t>
  </si>
  <si>
    <t>Поступило сообщение на э/п что в связи с задержкой зарплаты погашение возобновится после 06.12.2024</t>
  </si>
  <si>
    <t>Расплетина ул., дом 4 к.1</t>
  </si>
  <si>
    <t>02.08.2024 подано в 427 с/у за период: с 01.06.2024 по 30.06.2024 на 9384,85 руб., гп 200 руб. на Котова В.Г.</t>
  </si>
  <si>
    <t>Приходил собственник,  сообщил что произведет оплату задолженности 30.05.2024 и 15.06.2024 в полном объеме</t>
  </si>
  <si>
    <t>21.07.2023 подано в ФССП на Рэбонэ К.С. за период с 01.12.2022-31.03.2023 на сумму 26513,97 и 497,71 гп 02-0417/427/2023</t>
  </si>
  <si>
    <t>Расплетина ул., дом 4 к.4</t>
  </si>
  <si>
    <t>29.09.2023 подано в ФССП за период с 01.02.2022 по 31.05.2023 на сумму 9724,33 руб., гп. 200,00 руб., на Матвееву Е.В. 2-0533/427/2023
29.09.2023 подано в ФССП за период с 01.02.2022 по 31.05.2023 на сумму 4861,43 руб., гп. 200,00 руб., на Вьюркову Ю.С. 2-0534/427/2023</t>
  </si>
  <si>
    <t>Расплетина ул., дом 6 к.1</t>
  </si>
  <si>
    <t>29.02.2024 подано в 427 с/у за период с 01.03.2023 по 31.01.2024 на 45541,33 руб., г.п. 783,12 руб. на Левина Е.В.</t>
  </si>
  <si>
    <t>29.02.2024 подано в 427 с/у за период с 01.03.2023 по 31.01.2024 на 55606,14 руб., г.п. 934,09 руб. на Зайцеву Е.И.</t>
  </si>
  <si>
    <t>01.02.2024 подано в банк за период 01.05.2023-30.06.2023 на сумму 11611,44 руб., г/п. 240,30руб., на Антипова А.В., Антипова Б.А., Антипову Е.г.</t>
  </si>
  <si>
    <t>Расплетина ул., дом 6 к.2</t>
  </si>
  <si>
    <t>19.05.2023 подано в ФССП за период с 01.10.2020 по 30.11.2022 на сумму 35062,25 руб., гп. 625,94 руб. на Коржова М.К. 2-0056/2023</t>
  </si>
  <si>
    <t>04.07.2024 подан в 427 с/у за период с 01.11.2023 по 31.05.2024 на 5537,59 руб., гп 200 руб., на Дедюлю  С.М.</t>
  </si>
  <si>
    <t>Расплетина ул., дом 8 к.1</t>
  </si>
  <si>
    <t>02.08.2024 подано в 427 с/у за период: с 01.06.2024 по 30.06.2024 на 1752,24 руб. гп 200 руб. на Козлова И.П.</t>
  </si>
  <si>
    <t>Заключен договор реструктуризации задолженности за жку № 60 на срок до 25.06.2025 Ежемесячный платеж 9595,33 руб.</t>
  </si>
  <si>
    <t>Судебный приказ на Злотникова А.М. 2-1111/2024</t>
  </si>
  <si>
    <t>Определение об отмене судебного приказа по делу № 2-0701/2024 от 22.07.2024 за период 01.08.2023 по 31.01.2024 в размере 55985,66, гос.пошлина 939,79</t>
  </si>
  <si>
    <t>Расплетина ул., дом 8 к.2</t>
  </si>
  <si>
    <t>29.02.2024 подано в 427 с/у за период с 01.10.2023 по 31.01.2024 на 20609,41 руб., г.п. 409,14 руб. на Зеферида Е.А.</t>
  </si>
  <si>
    <t>19.07.2024 подано в 427 с/у с 01.12.2023 по 31.12.2023 на сумму 4011,60 руб., гп. 200,00 руб., на Шелаеву М.Д., Шелаеву М.Е.</t>
  </si>
  <si>
    <t>Новые собственники: Журавлева Ксения Сергеевна, тел.: 8-916-221-93-70; Грунчиу Ярослав Александрович; Поволоцкая Людмила Дмитриевна.</t>
  </si>
  <si>
    <t>Судебный приказ Болотевич Н.В., Кудряшова И.В. 2-1028/2024</t>
  </si>
  <si>
    <t>Направлен исполнительный лист в ФССП России по делу № 2-2188/2024 от 12.03.2024 о взыскании солидарно с Поленова Д.А.,Поленовой Ж.В. задолженности за жку в размере 39975,64 руб., пени в размере 3000 руб, гп 1399,26 руб.</t>
  </si>
  <si>
    <t>02.08.2024 подано в 427 с/у за период: с 01.06.2024 по 30.06.2024 на 2760,67 руб., гп 200 руб. На  Рыбко А.М., Рыбко Р.А</t>
  </si>
  <si>
    <t>04.07.2024 подан в 427 с/у за период с 01.07.2023 по 31.07.2023 на 5556,44 руб., гп 200 руб., на Тябус А.Н.</t>
  </si>
  <si>
    <t>Расплетина ул., дом 9</t>
  </si>
  <si>
    <t>29.02.2024 подано в 151 с/у за период с 01.07.2023 по 31.01.2024 на 69561,60 руб., г.п. 1143,43 руб. на Даниленко Е.Н., Даниленко К.В.</t>
  </si>
  <si>
    <t>19.07.2024 подано в 151 с/у за период с 01.05.2024 по 31.05.2024 на 5836.05 руб., гп 200.00 руб., на Зыкова Т.Г., Зыков С.С.</t>
  </si>
  <si>
    <t>Определение об отмене судебного Приказа № 02-0864/2021, 01.06.2004 по 30.04.2021,  в размере 74041,47, г.п.840,41 рублей</t>
  </si>
  <si>
    <t>Расплетина ул., дом 12 к.2</t>
  </si>
  <si>
    <t>02.08.2024 подано в 427 с/у на период: с 01.06.2024 по 30.06.2024 на 2948,64 руб., гп 200 руб. на Талыкова А.Ю</t>
  </si>
  <si>
    <t>Расплетина ул., дом 13</t>
  </si>
  <si>
    <t>заключен договор реструктуризации долга сроком на 12 мес. Первоначальный взнос 30000 руб.. ежемесячный платеж 9133 руб. 00 коп.</t>
  </si>
  <si>
    <t>23.08.2024 подано в 151 с/у за период: с 01.06.2024 по 30.06.2024 на 9770,49 руб., гп 200,00 руб. на Чепика Д.Иг</t>
  </si>
  <si>
    <t>Расплетина ул., дом 17</t>
  </si>
  <si>
    <t>Поступила оплата за жку</t>
  </si>
  <si>
    <t>21.06.2023 подано в ФССП за период с 01.05.2021 по 31.10.2022 на сумму 45164.84 руб., гп 777.47 руб., на Титова М.И. 2-1399/22</t>
  </si>
  <si>
    <t>30.05.2024 подано в ФССП за период с 01.08.2023 по 31.01.2024 на 67190,66 руб., гп. 1107,86 руб., на Бужину Т.В., Макарову З.Н., Макарова Н.Н.</t>
  </si>
  <si>
    <t>Расплетина ул., дом 19</t>
  </si>
  <si>
    <t>04.07.2024 подан в 151 с/у за период с 01.07.2023 по 31.03.2024 на 11415,19 руб, гп 228,31 руб., на Ревину А.Н., Ревину М.М., Ревина Д.М., Ревина И.Б., Ревина М.Б., Ревина П.И.</t>
  </si>
  <si>
    <t>30.05.2024 подано в ФССП за период с 01.08.2023 по 31.01.2024 на 83457,53 руб., гп. 1351,87 руб., на Дмитриеву Л.Н., Дмитриева В.Л., Дмитриева М.В.</t>
  </si>
  <si>
    <t>02.06.2023 подано в ФССП на Соломко Л.Д. за период с 01.09.2021-31.01.2023 на сумму 3536,89 и 808,40 гп</t>
  </si>
  <si>
    <t>Судебный приказ на Ильина А.Н., Ильина Н.А., Ильина Е.Ф., Семилетову Е.А., Щербакова Ф.Ф. 2-1313/2024</t>
  </si>
  <si>
    <t>Расплетина ул., дом 19 к.2</t>
  </si>
  <si>
    <t>На Интезарова Наталья Аркадьевна, с 01.08.2016 по 30.04.2021, на сумму 8583,95, гп. 200,00, %Доли 33.33%
На Гончарова Ирина Владимировна, с 01.08.2016 по 30.04.2021, на сумму 12877,21, гп. 257,54, %Доли 50%</t>
  </si>
  <si>
    <t>06.11.2024 подано в ФССП за период с 01.02.2024 по 30.06.2024 на сумму 36629,46 руб., гп. 649,44 руб. на Краснова Ю.Н. № 2-1532/2024</t>
  </si>
  <si>
    <t>26.07.2024 подано в 151 с/у за период с 01.04.2024 по 30.06.2024 на 8500.71 руб., гп 200.00 руб., на Серкова Л.А.</t>
  </si>
  <si>
    <t>Расплетина ул., дом 20</t>
  </si>
  <si>
    <t>06.03.2024 подано в 427 с/у за период с 01.09.2023 по 31.01.2024 на 59165,84 руб., гп. 987,49 руб., на Власенкову И.Е., Печкурову К.Е., Самсоненко Е.Б., Серякову В.Е., Печкурову Л.М.</t>
  </si>
  <si>
    <t>Расплетина ул., дом 28</t>
  </si>
  <si>
    <t>подано в ФССП за период с 01.05.2023-30.06.2023  на сумму 88380.49 г.п. 368,501 на Антонова Е.В. 02-0825/427/2023</t>
  </si>
  <si>
    <t>Определение 427 с/у о передаче дела для рассмотрения в Хорошевский районный суд</t>
  </si>
  <si>
    <t>Расплетина ул., дом 32 к.1</t>
  </si>
  <si>
    <t>20.11.2024 подано в ФССП за период 01.12.2022 по 30.11.2023 на сумму 12911,01 руб., гп. 258,22 руб. на Ермакову М.В., Нариманова А.И. 2-0705/2024</t>
  </si>
  <si>
    <t>13.01.2023 подано в 427 с\у за период с 01.10.2020 по 30.11.2022 на 17996,03 руб., гп 359,92 руб., на Ермакову М.В.</t>
  </si>
  <si>
    <t>02.08.2024 подано в 427 с/у за период: с 01.06.2024 по 30.06.2024 на 5287,72 руб., гп 200 руб. на Петрова Д.В.</t>
  </si>
  <si>
    <t>Расплетина ул., дом 34</t>
  </si>
  <si>
    <t>Заявление об отзыве исполнительных документов от 11.02.2025</t>
  </si>
  <si>
    <t>Рогова ул., дом 7 к.2</t>
  </si>
  <si>
    <t>1.03.2024 подано в ФССП  за период 01.11.2022-30.09.2023 на сумму 19933,51 р. г/п. 398,67 р. судебный приказ №2-1504/151/2023 на Иванову М.Ю.</t>
  </si>
  <si>
    <t>180</t>
  </si>
  <si>
    <t>Судебный приказ № 02-1345/2024 от 13.08.2024 на сумму 1004,08</t>
  </si>
  <si>
    <t>189</t>
  </si>
  <si>
    <t>14.04.2023  подано в ФССП за период с 01.05.2021 по 31.10.2022 на сумму 30004,58 руб., гп. 550,07 руб. на Кулакову Т.И. 2-1413/2022</t>
  </si>
  <si>
    <t>204</t>
  </si>
  <si>
    <t>Акашев Дмитрий Викторович новый арендатор, ограничения пока не проводить 89060322580</t>
  </si>
  <si>
    <t>собственник обязуется по конца января оплатить полностью задолженность</t>
  </si>
  <si>
    <t>334</t>
  </si>
  <si>
    <t>Рогова ул., дом 15 к.2</t>
  </si>
  <si>
    <t>04.07.2024 подано в 151 с/у за период с 01.08.2022 по 31.07.2023 на 7504,11 руб., гп. 200 руб., на Носова В.И., Носова И.В.</t>
  </si>
  <si>
    <t>Определение об отмене судебного приказа на Павлова Д.М. 2-709/22</t>
  </si>
  <si>
    <t>09.01.2024 подано в 151 с/у за период с 01.09.2023 по 30.11.2023 на 18871,79 руб., гп. 377,44 руб., на Закараю Е.В.</t>
  </si>
  <si>
    <t>Рыбалко маршала ул., дом 1</t>
  </si>
  <si>
    <t>Судебный приказ на Лапенкова Е.Б., Лапенкову М.В., Юшину А.С. 2-2501/152/2024</t>
  </si>
  <si>
    <t>11.10.2024 подано в ФССП за период с 01.11.2022 по 31.01.2024 на сумму 46484,77 руб., гп. 797,27 руб. на Лазарева С.В. 2-1821/152/2024</t>
  </si>
  <si>
    <t>27.09.2024 подано в ФССП за период с 01.05.2024 по 30.06.2024 на сумму 6453,18 руб., гп. 451,92 руб. на Петрыкину Н.В., Тьелну Н.А. 2-1513/2024</t>
  </si>
  <si>
    <t>20.11.2024 подано в ФССП за период с 01.07.2023 по 30.04.2023 на сумму 12930,56 руб., гп. 258,61 руб. на Пантелееву Л.В. № 2-1792/152/2024</t>
  </si>
  <si>
    <t>Рыбалко маршала ул., дом 3</t>
  </si>
  <si>
    <t>29.03.2024 подано в ФССП за период с 01.01.2020 по 30.06.2023 на сумму 3487,24 руб., гп. 200,00 руб. на Тимонину М.Ю. 2-0112/2024</t>
  </si>
  <si>
    <t>Рыбалко маршала ул., дом 4-В</t>
  </si>
  <si>
    <t>12.12.2024 подано в ФССП за период с 01.04.2024 по 30.06.2024 на сумму 19286,19 руб., гп. 385,73 руб. на Валиуллина А.М., Валиуллина А.М.. Хайретдинову Р.М.  2-1747/152/2024</t>
  </si>
  <si>
    <t>ГП по нему не оплачивать</t>
  </si>
  <si>
    <t>07.11.2022 подано в ФССП за период с 01.10.21 по 31.05.22 на сумму гп 366,21 на Горанова А.С.</t>
  </si>
  <si>
    <t>18.10.2024 подано в ФССП за период с 01.05.2024 по 31.05.2024 на сумму 4147,16 руб., гп. 200,00 руб. на Сокиркина А.И. 2-1982/2024</t>
  </si>
  <si>
    <t>Рыбалко маршала ул., дом 4 к.Г</t>
  </si>
  <si>
    <t>Судебный приказ на Фролова Д.В. 2-2613/152/2024</t>
  </si>
  <si>
    <t>12.12.2024 подано в ФССП за период с 01.01.2024 по 30.04.2024 на сумму 7423,74 руб., гп. 404,97 руб. на Ершову Н.А., Ершова Д.Ю. 2-2009/2024</t>
  </si>
  <si>
    <t>06.05.2024 подано заявление в Сбербанк на Володина И.С. за период с 01.09.2023-31.01.24 на сумму 20087,51 руб. и 401,32 г.п.</t>
  </si>
  <si>
    <t>29.08.2024 подано в 152 с/у за период: с 01.05.2024 по 30.06.2024 на 14648,24 руб., гп 292,97 руб. на Квасову В.С., Квасову И.Р.</t>
  </si>
  <si>
    <t>12.12.2024 подано в ФССП за период с 01.05.2024 по 31.05.2024 на сумму 760,00 руб., гп. 200,00 руб. на Колмакову С.А. 2-1822/2024</t>
  </si>
  <si>
    <t>Рыбалко маршала ул., дом 5</t>
  </si>
  <si>
    <t>13.10.2023 подано в ФССП за период с 01.08.2022 по 30.04.2023 на сумму 21925,11 руб., гп. 1026,28 руб. на Павлову С.В. 2-952/23</t>
  </si>
  <si>
    <t>Рыбалко маршала ул., дом 8</t>
  </si>
  <si>
    <t>Наниматель Синдикова Ашура, Юнусовна, тел.: 8-929-297-32-41</t>
  </si>
  <si>
    <t>В пире не формируются документы на должника</t>
  </si>
  <si>
    <t>Рыбалко маршала ул., дом 9</t>
  </si>
  <si>
    <t>Рыбалко маршала ул., дом 11</t>
  </si>
  <si>
    <t>Рыбалко маршала ул., дом 12 к.1</t>
  </si>
  <si>
    <t>11.10.2024 подано в ФССП за период с 01.05.2024 по 30.06.2024 на сумму 8911,77 руб., гп. 200,00 руб. на Гармаш О.А., Нартову Ю.А. 2-1745/152/2024</t>
  </si>
  <si>
    <t>12.12.2024 подано в ФССП за период с 01.12.2023 по 30.04.2024 на сумму 97127,53 руб., гп. 1556,92 руб. на Кобилеву А.В., Кобилева Н.О., Нежевец Н.Г. 2-1719/2024</t>
  </si>
  <si>
    <t>Определение об отмене судебного приказа № 2-1695/152/2024, за период 01.05.2024 по 30.06.2024, в размере 5754,99, гос.пошлина 200,00.</t>
  </si>
  <si>
    <t>Судебный приказ на Степанян М.Т., Степанян М.С., Степанян Т.Э. 2-1602/152/23</t>
  </si>
  <si>
    <t>Рыбалко маршала ул., дом 12 к.2</t>
  </si>
  <si>
    <t>11.06.21 подано в ФССП на Варду Ю.Д., Варда Д.С. за период с 01.08.2019-31.01.2021 на сумму 87487,54 и 1412,31 гп. Судебный приказ 2-247/2021</t>
  </si>
  <si>
    <t>12.12.2024 подано в ФССП за период с 01.09.2023 по 31.01.2024 на сумму 21107,58 руб., гп. 416,62 руб. на Агаева С.С. оглы, Агаева С.Г. оглы, Габибовой Д.С. оглы, Агаева Н.С. кызы 2-1679/152/2024</t>
  </si>
  <si>
    <t>28.11.2024 подано в ФССП за период с 01.04.2023 по 31.05.2024 на сумму 10624,97 руб., гп. 212,50 руб. на Мезярову М.Н. № 2-1996/152/2024</t>
  </si>
  <si>
    <t>Рыбалко маршала ул., дом 12 к.3</t>
  </si>
  <si>
    <t>01.11.2023 подано в ФССП за период с 01.11.2020 по 30.06.2023 на сумму 13876,59 руб. г.п. 277,53 руб. на Кадыкову О.В., Прометову Т.А.</t>
  </si>
  <si>
    <t>Рыбалко маршала ул., дом 13</t>
  </si>
  <si>
    <t>Судебный приказ на Малышева Ю.В. 2-2610/152/2024</t>
  </si>
  <si>
    <t>22.10.2024 подано в ФССП за период с 01.05.2024 по 30.06.2024 на сумму 7548,17 руб., гп. 200,00 руб. на Щелова К.П. , Щелова П.Н., Щелова В.П.  2-1884/2024</t>
  </si>
  <si>
    <t>Судебный приказ на Королеву Е.А. 2-729/22</t>
  </si>
  <si>
    <t>04.10.2024 подано в ФССП за период с 01.11.2022 по 30.04.2024 на сумму 35553,70 руб., гп. 631,31 руб. на Сломчинского А.В. № 2-1758/152/2024
04.10.2024 подано в ФССП за период с 01.05.2024 по 30.06.2024 на сумму 14031,94 руб., гп. 280,64 руб. на Сломчинского А.В. № 2-1737/152/2024</t>
  </si>
  <si>
    <t>Рыбалко маршала ул., дом 14 к.2</t>
  </si>
  <si>
    <t>Рыбалко маршала ул., дом 14 к.3</t>
  </si>
  <si>
    <t>04.10.2024 подано в ФССП за период с 01.05.2024 по 30.06.2024 на сумму 16902,52 руб., гп. 338,05 руб. на Гусева А.А., Гусева С.Н. № 2-1755/152/2024</t>
  </si>
  <si>
    <t>Судебный приказ на Матвееву Е.В., Соломонову А.Н. 2-2502/152/2024</t>
  </si>
  <si>
    <t>Рыбалко маршала ул., дом 14 к.4</t>
  </si>
  <si>
    <t>Рыбалко маршала ул., дом 16 к.2</t>
  </si>
  <si>
    <t>21.10.2024 подано заявление о возбуждении ИП в ФССП России за период: с 01.07.2021 по 31.05.2024 на сумму долга 10890,01 руб., гп 217,80 руб. в отношении Ельмов И.В. № 2-1994/152/2024</t>
  </si>
  <si>
    <t>Рыбалко маршала ул., дом 16 к.3</t>
  </si>
  <si>
    <t>02.07.2024 подано в 152 с/у за период с 01.07.2023 по 31.03.2024 на сумму 10466,41, гп. 209,33, на Гордееву А.В.</t>
  </si>
  <si>
    <t>Рыбалко маршала ул., дом 16 к.4</t>
  </si>
  <si>
    <t>12.12.2024 подано в ФССП за период с 01.03.2024 по 30.04.2024 на сумму 7197,70 руб., гп. 200,00 руб. на Савельеву Е.В., Савельева А.А., Савельева И.А., Соболевскую М.В. 2-1698/2024</t>
  </si>
  <si>
    <t>27.09.2024 подано в ФССП за период с 01.05.2024 по 30.06.2024 на сумму 4988,12 руб., гп. 200,00 руб. на Титова Н.А. 2-610/2024 Арефьеву А.В., Намнясева О.А. 2-1514/2024</t>
  </si>
  <si>
    <t>06.12.2024 подано в ФССП за период с 01.01.024 по 31.05.2024 на сумму 9177,34 руб., гп. 200,00 руб. на Суар А.О., Суар Б.А., Сукиасян А.Н. 2-1788/152/2024</t>
  </si>
  <si>
    <t>Внесен актуальный номер телефона</t>
  </si>
  <si>
    <t>06.12.2024 подано в ФССП за период с 01.12.2023 по 31.05.2024 на сумму 8750,49 руб., гп. 200,00 руб. на Гарина О.А. 2-2000/2024</t>
  </si>
  <si>
    <t>Рыбалко маршала ул., дом 18 к.2</t>
  </si>
  <si>
    <t>Рыбалко маршала ул., дом 18 к.3</t>
  </si>
  <si>
    <t>Рыбалко маршала ул., дом 20</t>
  </si>
  <si>
    <t>06.11.2024 заключен договор реструктуризации долга № 53 на срок 3 мес. Окончание срока 07.02.2025</t>
  </si>
  <si>
    <t>04.10.2024 подано в ФССП за период с 01.03.2023 по 31.10.2024 на сумму 21007,55 руб., гп. 415,12 руб. на на Бобылева В.В. № 2-1684/152/2024</t>
  </si>
  <si>
    <t>Соглашение реструктуризации до 30.06.2025</t>
  </si>
  <si>
    <t>Соколовского маршала ул., дом 2</t>
  </si>
  <si>
    <t>12.12.2024 подано в ФССП за период с 01.05.2024 по 31.05.2024 на сумму 4751,98 руб., гп. 200,00 руб. на Мартынюк М.Т. № 2-1875/152/2024</t>
  </si>
  <si>
    <t>Соколовского маршала ул., дом 6</t>
  </si>
  <si>
    <t>29.02.2024 подано в 427 с/у за период с 01.09.2023 по 31.01.2024 на 29982,56 руб., г.п. 549,74 руб. на Минаева Д.Е.</t>
  </si>
  <si>
    <t>Соколовского маршала ул., дом 11 к.1</t>
  </si>
  <si>
    <t>20.11.2024 подано в ФССП за период с 01.07.2023 по 31.01.2024 на сумму 31494,63 руб., гп. 572,42 руб. на Басишвили А.Э., Коршунова А.К. 2-0700/2024</t>
  </si>
  <si>
    <t>Соколовского маршала ул., дом 12</t>
  </si>
  <si>
    <t>02.08.2024 подано в 427 с/у, за период: с 01.07.2023 по 30.06.2024 на 4016,16 руб., гп 200 руб. на Ситникову Т.М</t>
  </si>
  <si>
    <t>подано в 427 суд.уч. за период 12.2020-10.2022 Ситникова Т.М.  5972,46 руб. - долг, 200 руб. - г/п.</t>
  </si>
  <si>
    <t>02.08.2024 подано в 427 с/у за период: с 01.06.2024 по 30.06.2024 на 4772,72 руб., гп 200 руб. на Крикунову О.П</t>
  </si>
  <si>
    <t>Соколовского маршала ул., дом 13</t>
  </si>
  <si>
    <t>04.07.2024 подан в 427 с/у за период с 01.12.2023 по 30.04.2024 на 4416,07руб., гп 200 руб., на Бурмистрову Е. Ю. , Бурмистрова Д.А.</t>
  </si>
  <si>
    <t>Определение об отмене судебного приказа № 2-1639/152/2024 от 11.09.2024, на общую сумму 25106,10, гос.пошлина 476,59.</t>
  </si>
  <si>
    <t>14.12.2023 подано в ФССП за период 01.08.2022 по 30.06.2023 на сумму 13756,92 руб., гп.275.14 руб.на Демьянова В.А.</t>
  </si>
  <si>
    <t>02.08.2024 подано в 427 с/у за период: с 01.04.2024 по 30.06.2024 на 3394,36 руб., гп 200 руб. на Сергеева А.А., Сергееву М.А., Сергеева А.В.</t>
  </si>
  <si>
    <t>Соколовского маршала ул., дом 14</t>
  </si>
  <si>
    <t>06.03.2024 подано в 427 с/у за период с 01.07.2023 по 31.12.2023 на 30854,53 руб., гп. 562,82 руб., на Каменскую И.А., Сырцову Г.А.</t>
  </si>
  <si>
    <t>15.08.2024 подано в 427 с/у за период с 01.05.2024 по 30.06.2024 на 6314,56 руб., гп 200 руб. на Пукинского А.А.</t>
  </si>
  <si>
    <t>Тепличный пер., дом 4</t>
  </si>
  <si>
    <t>15.08.2024 подано в 427 с/у за период: с 01.05.2024 по 30.06.2024 на 16309,99 руб., гп 326,20 руб. на Филимонова Д.В.</t>
  </si>
  <si>
    <t>02.08.2024 подано в 427 с/у за период: с 01.06.2024 по 30.06.2024 на 3504,40 руб. гп 200 руб. на Ткачеву А.В</t>
  </si>
  <si>
    <t>Отзыв от 05.09.2022 испол. документов из ФССП на Зубцову М.В. 2-455/21 и 2-1084/2021</t>
  </si>
  <si>
    <t>199</t>
  </si>
  <si>
    <t>Судебный приказ на Тихонова Д.Д. 2-0451/2024</t>
  </si>
  <si>
    <t>247</t>
  </si>
  <si>
    <t>29.02.2024 подано в 427 с/у за период с 01.05.2023 по 31.01.2024 на 102669,46 руб., г.п. 1626,70 руб. на Тихонова Д.Д.</t>
  </si>
  <si>
    <t>273</t>
  </si>
  <si>
    <t>26.07.2024 подано в 427 с/у за период с 01.05.2024 по 30.06.2024 на 7215.70 руб., гп 200.00 руб., на Лапушкина А.В., Лапушкин М.В.</t>
  </si>
  <si>
    <t>314</t>
  </si>
  <si>
    <t>17.05.2023 Аверин оплатил 20 359,98</t>
  </si>
  <si>
    <t>381</t>
  </si>
  <si>
    <t>04.07.2024 подан в 427 с/у за период с 01.12.2023 по 31.05.2024 на 25370,27 руб, гп 480,56 руб., на Алексееву А.А., Алексеева Н.А., Сербину И.А.</t>
  </si>
  <si>
    <t>421</t>
  </si>
  <si>
    <t>22.09.2023 подано в ФССП за период с 01.09.2021 по 30.11.2022 на сумму 45214,61 руб., гп. 899,14 руб., на Копраненкова О.В., Копраненкова Ф.О., Струк М.И. 2-0546/427/2023</t>
  </si>
  <si>
    <t>432</t>
  </si>
  <si>
    <t>Определение об отмене судебного приказа 2-921/2023</t>
  </si>
  <si>
    <t>472</t>
  </si>
  <si>
    <t>14.12.2021 за период с 01.01.2008 по 30.11.2021 на Ширинову М.М. на сумму 21403,07 руб.,гп.421,05 руб.</t>
  </si>
  <si>
    <t>486</t>
  </si>
  <si>
    <t>19.04.2024 подано в ФССП на Фирсова М.В. за период с 01.08.2016 по 31.07.2021 на 95120,24 и 3053,61 гп</t>
  </si>
  <si>
    <t>523</t>
  </si>
  <si>
    <t>547</t>
  </si>
  <si>
    <t>19.07.2024 подано в 427 с/у за период с 01.09.2023 по 30.06.2024 на сумму 14852,21 руб., гп. 297,05 руб., на Усачеву Т.И.</t>
  </si>
  <si>
    <t>Тепличный пер., дом 5</t>
  </si>
  <si>
    <t>Судебный приказ на Сухорукову Е.И. 2-0430/2024</t>
  </si>
  <si>
    <t>Судебный приказ на Гнездилову П.С. 02-0444/427/2023</t>
  </si>
  <si>
    <t>06.03.2024 подано в 427 с/у за период с 01.11.2022 по 31.12.2023 на 45017,06 руб., гп. 775,26 руб., на Трегубову С.С.</t>
  </si>
  <si>
    <t>Тепличный пер., дом 10</t>
  </si>
  <si>
    <t>29.02.2024 подано в 427 с/у за период с 01.04.2023 по 31.01.2024 на 17176,88 руб., г.п. 343,54 руб. на Фокина Е.Л.</t>
  </si>
  <si>
    <t>19.05.2023 подано в 427 с/у за период с 01.07.2020 по 31.12.2021 на сумму 15335,07 руб., гп. 306,70 руб., на Бородина В.В.</t>
  </si>
  <si>
    <t>Поступила оплата в сумме 9203,31 руб</t>
  </si>
  <si>
    <t xml:space="preserve">СПИСОК </t>
  </si>
  <si>
    <t xml:space="preserve">должников за жилищно-коммунальные услуги по району Щукино 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</si>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</sst>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u/>
      <sz val="11"/>
      <color rgb="FF0C67D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EF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vertical="top" wrapText="1"/>
    </xf>
    <xf numFmtId="0" fontId="1" fillId="0" borderId="0" xfId="0" applyFont="1"/>
    <xf numFmtId="164" fontId="0" fillId="0" borderId="0" xfId="0" applyNumberFormat="1"/>
    <xf numFmtId="0" fontId="0" fillId="2" borderId="0" xfId="0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08"/>
  <sheetViews>
    <sheetView tabSelected="1" topLeftCell="A36" workbookViewId="0">
      <selection activeCell="A80" sqref="A80:XFD1229"/>
    </sheetView>
  </sheetViews>
  <sheetFormatPr defaultRowHeight="15" x14ac:dyDescent="0.25"/>
  <cols>
    <col min="1" max="1" width="39.140625" customWidth="1"/>
    <col min="2" max="2" width="15.85546875" customWidth="1"/>
    <col min="3" max="3" width="9.140625" hidden="1" customWidth="1"/>
    <col min="4" max="4" width="14.28515625" customWidth="1"/>
    <col min="5" max="5" width="14.85546875" customWidth="1"/>
  </cols>
  <sheetData>
    <row r="1" spans="1:7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71" x14ac:dyDescent="0.25">
      <c r="A3" s="4" t="s">
        <v>1362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 x14ac:dyDescent="0.25">
      <c r="A4" s="4" t="s">
        <v>1363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</row>
    <row r="9" spans="1:71" ht="90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1364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 t="s">
        <v>4</v>
      </c>
      <c r="AY9" s="1" t="s">
        <v>5</v>
      </c>
      <c r="AZ9" s="1" t="s">
        <v>6</v>
      </c>
      <c r="BA9" s="1" t="s">
        <v>7</v>
      </c>
      <c r="BB9" s="1" t="s">
        <v>8</v>
      </c>
      <c r="BC9" s="1" t="s">
        <v>9</v>
      </c>
      <c r="BD9" s="1" t="s">
        <v>10</v>
      </c>
      <c r="BE9" s="1" t="s">
        <v>11</v>
      </c>
      <c r="BF9" s="1" t="s">
        <v>12</v>
      </c>
      <c r="BG9" s="1" t="s">
        <v>13</v>
      </c>
      <c r="BH9" s="1" t="s">
        <v>14</v>
      </c>
      <c r="BI9" s="1" t="s">
        <v>15</v>
      </c>
      <c r="BJ9" s="1" t="s">
        <v>16</v>
      </c>
      <c r="BK9" s="1" t="s">
        <v>17</v>
      </c>
      <c r="BL9" s="1" t="s">
        <v>18</v>
      </c>
      <c r="BM9" s="1" t="s">
        <v>19</v>
      </c>
      <c r="BN9" s="1" t="s">
        <v>20</v>
      </c>
      <c r="BO9" s="1" t="s">
        <v>21</v>
      </c>
      <c r="BP9" s="1" t="s">
        <v>22</v>
      </c>
      <c r="BQ9" s="1" t="s">
        <v>23</v>
      </c>
      <c r="BR9" s="1" t="s">
        <v>24</v>
      </c>
      <c r="BS9" s="1" t="s">
        <v>25</v>
      </c>
    </row>
    <row r="10" spans="1:71" x14ac:dyDescent="0.25">
      <c r="A10" t="s">
        <v>26</v>
      </c>
      <c r="B10" t="s">
        <v>27</v>
      </c>
      <c r="C10" s="2">
        <f>HYPERLINK("https://szao.dolgi.msk.ru/account/3470001415/", 3470001415)</f>
        <v>3470001415</v>
      </c>
      <c r="D10" t="s">
        <v>29</v>
      </c>
      <c r="E10">
        <v>31158.080000000002</v>
      </c>
      <c r="AX10">
        <v>2.83</v>
      </c>
      <c r="AY10">
        <v>3.26</v>
      </c>
      <c r="AZ10" t="s">
        <v>30</v>
      </c>
      <c r="BA10" t="s">
        <v>31</v>
      </c>
      <c r="BB10">
        <v>31158.080000000002</v>
      </c>
      <c r="BC10">
        <v>31158.080000000002</v>
      </c>
      <c r="BD10">
        <v>31158.080000000002</v>
      </c>
      <c r="BE10">
        <v>31158.080000000002</v>
      </c>
      <c r="BF10">
        <v>21601.42</v>
      </c>
      <c r="BG10">
        <v>5540.36</v>
      </c>
      <c r="BH10">
        <v>4485</v>
      </c>
      <c r="BI10">
        <v>6582.54</v>
      </c>
      <c r="BJ10">
        <v>1853.8</v>
      </c>
      <c r="BK10">
        <v>4866.46</v>
      </c>
      <c r="BL10">
        <v>6672.34</v>
      </c>
      <c r="BM10">
        <v>1157.58</v>
      </c>
      <c r="BN10">
        <v>12409.12</v>
      </c>
      <c r="BO10">
        <v>9556.66</v>
      </c>
      <c r="BP10" s="3">
        <v>45681</v>
      </c>
      <c r="BQ10">
        <v>21965.78</v>
      </c>
      <c r="BR10" s="3">
        <v>45631</v>
      </c>
      <c r="BS10" t="s">
        <v>32</v>
      </c>
    </row>
    <row r="11" spans="1:71" x14ac:dyDescent="0.25">
      <c r="A11" t="s">
        <v>26</v>
      </c>
      <c r="B11" t="s">
        <v>33</v>
      </c>
      <c r="C11" s="2">
        <f>HYPERLINK("https://szao.dolgi.msk.ru/account/3470469923/", 3470469923)</f>
        <v>3470469923</v>
      </c>
      <c r="D11" t="s">
        <v>29</v>
      </c>
      <c r="E11">
        <v>48150.01</v>
      </c>
      <c r="AX11">
        <v>21.62</v>
      </c>
      <c r="AY11">
        <v>10.56</v>
      </c>
      <c r="AZ11" t="s">
        <v>35</v>
      </c>
      <c r="BA11" t="s">
        <v>36</v>
      </c>
      <c r="BB11">
        <v>48150.01</v>
      </c>
      <c r="BC11">
        <v>48150.01</v>
      </c>
      <c r="BD11">
        <v>48150.01</v>
      </c>
      <c r="BE11">
        <v>48150.01</v>
      </c>
      <c r="BF11">
        <v>48334.46</v>
      </c>
      <c r="BG11">
        <v>8581.51</v>
      </c>
      <c r="BH11">
        <v>3264.28</v>
      </c>
      <c r="BI11">
        <v>780.3</v>
      </c>
      <c r="BJ11">
        <v>4737.71</v>
      </c>
      <c r="BK11">
        <v>3725.02</v>
      </c>
      <c r="BL11">
        <v>22918.71</v>
      </c>
      <c r="BM11">
        <v>4142.4799999999996</v>
      </c>
      <c r="BN11">
        <v>4185.3999999999996</v>
      </c>
      <c r="BO11">
        <v>4558.6499999999996</v>
      </c>
      <c r="BP11" s="3">
        <v>45696</v>
      </c>
      <c r="BQ11">
        <v>184.45</v>
      </c>
      <c r="BR11" s="3">
        <v>45632</v>
      </c>
      <c r="BS11" t="s">
        <v>37</v>
      </c>
    </row>
    <row r="12" spans="1:71" x14ac:dyDescent="0.25">
      <c r="A12" t="s">
        <v>38</v>
      </c>
      <c r="B12" t="s">
        <v>39</v>
      </c>
      <c r="C12" s="2">
        <f>HYPERLINK("https://szao.dolgi.msk.ru/account/3470431191/", 3470431191)</f>
        <v>3470431191</v>
      </c>
      <c r="D12" t="s">
        <v>29</v>
      </c>
      <c r="E12">
        <v>10579.67</v>
      </c>
      <c r="AX12">
        <v>2.41</v>
      </c>
      <c r="AY12">
        <v>2.34</v>
      </c>
      <c r="AZ12" t="s">
        <v>40</v>
      </c>
      <c r="BA12" t="s">
        <v>31</v>
      </c>
      <c r="BB12">
        <v>10579.67</v>
      </c>
      <c r="BC12">
        <v>10579.67</v>
      </c>
      <c r="BD12">
        <v>10579.67</v>
      </c>
      <c r="BE12">
        <v>10579.67</v>
      </c>
      <c r="BF12">
        <v>6050.76</v>
      </c>
      <c r="BG12">
        <v>4152.32</v>
      </c>
      <c r="BH12">
        <v>459.35</v>
      </c>
      <c r="BI12">
        <v>892.21</v>
      </c>
      <c r="BJ12">
        <v>228.13</v>
      </c>
      <c r="BK12">
        <v>499.22</v>
      </c>
      <c r="BL12">
        <v>3597.26</v>
      </c>
      <c r="BM12">
        <v>751.18</v>
      </c>
      <c r="BP12" s="3">
        <v>45653</v>
      </c>
      <c r="BQ12">
        <v>3971.85</v>
      </c>
      <c r="BR12" s="3">
        <v>44510</v>
      </c>
      <c r="BS12" t="s">
        <v>41</v>
      </c>
    </row>
    <row r="13" spans="1:71" x14ac:dyDescent="0.25">
      <c r="A13" t="s">
        <v>38</v>
      </c>
      <c r="B13" t="s">
        <v>42</v>
      </c>
      <c r="C13" s="2">
        <f>HYPERLINK("https://szao.dolgi.msk.ru/account/3470441277/", 3470441277)</f>
        <v>3470441277</v>
      </c>
      <c r="D13" t="s">
        <v>29</v>
      </c>
      <c r="E13">
        <v>149112.01</v>
      </c>
      <c r="AX13">
        <v>13.28</v>
      </c>
      <c r="AY13">
        <v>13.19</v>
      </c>
      <c r="AZ13" t="s">
        <v>40</v>
      </c>
      <c r="BA13" t="s">
        <v>36</v>
      </c>
      <c r="BB13">
        <v>149112.01</v>
      </c>
      <c r="BC13">
        <v>149112.01</v>
      </c>
      <c r="BD13">
        <v>149112.01</v>
      </c>
      <c r="BE13">
        <v>149112.01</v>
      </c>
      <c r="BF13">
        <v>137590.54</v>
      </c>
      <c r="BG13">
        <v>22607.56</v>
      </c>
      <c r="BH13">
        <v>9322.9699999999993</v>
      </c>
      <c r="BI13">
        <v>43289.88</v>
      </c>
      <c r="BJ13">
        <v>9557.4599999999991</v>
      </c>
      <c r="BK13">
        <v>26809.81</v>
      </c>
      <c r="BL13">
        <v>29357.54</v>
      </c>
      <c r="BM13">
        <v>8166.79</v>
      </c>
      <c r="BP13" s="3">
        <v>45647</v>
      </c>
      <c r="BQ13">
        <v>0</v>
      </c>
      <c r="BR13" s="3">
        <v>45625</v>
      </c>
      <c r="BS13" t="s">
        <v>43</v>
      </c>
    </row>
    <row r="14" spans="1:71" x14ac:dyDescent="0.25">
      <c r="A14" t="s">
        <v>38</v>
      </c>
      <c r="B14" t="s">
        <v>44</v>
      </c>
      <c r="C14" s="2">
        <f>HYPERLINK("https://szao.dolgi.msk.ru/account/3470441533/", 3470441533)</f>
        <v>3470441533</v>
      </c>
      <c r="D14" t="s">
        <v>29</v>
      </c>
      <c r="E14">
        <v>123380.64</v>
      </c>
      <c r="AX14">
        <v>26.62</v>
      </c>
      <c r="AY14">
        <v>25.19</v>
      </c>
      <c r="AZ14" t="s">
        <v>45</v>
      </c>
      <c r="BA14" t="s">
        <v>36</v>
      </c>
      <c r="BB14">
        <v>123380.64</v>
      </c>
      <c r="BC14">
        <v>123259.01</v>
      </c>
      <c r="BD14">
        <v>123380.64</v>
      </c>
      <c r="BE14">
        <v>123259.01</v>
      </c>
      <c r="BF14">
        <v>118833.31</v>
      </c>
      <c r="BG14">
        <v>36995.79</v>
      </c>
      <c r="BH14">
        <v>11156.42</v>
      </c>
      <c r="BI14">
        <v>25018.54</v>
      </c>
      <c r="BJ14">
        <v>6681.1</v>
      </c>
      <c r="BK14">
        <v>13888.42</v>
      </c>
      <c r="BL14">
        <v>21666.54</v>
      </c>
      <c r="BM14">
        <v>7973.83</v>
      </c>
      <c r="BP14" s="3">
        <v>45427</v>
      </c>
      <c r="BQ14">
        <v>2741.46</v>
      </c>
      <c r="BR14" s="3">
        <v>45513</v>
      </c>
      <c r="BS14" t="s">
        <v>46</v>
      </c>
    </row>
    <row r="15" spans="1:71" x14ac:dyDescent="0.25">
      <c r="A15" t="s">
        <v>38</v>
      </c>
      <c r="B15" t="s">
        <v>47</v>
      </c>
      <c r="C15" s="2">
        <f>HYPERLINK("https://szao.dolgi.msk.ru/account/3470441963/", 3470441963)</f>
        <v>3470441963</v>
      </c>
      <c r="D15" t="s">
        <v>29</v>
      </c>
      <c r="E15">
        <v>19418.580000000002</v>
      </c>
      <c r="AX15">
        <v>3.31</v>
      </c>
      <c r="AY15">
        <v>2.83</v>
      </c>
      <c r="AZ15" t="s">
        <v>30</v>
      </c>
      <c r="BA15" t="s">
        <v>49</v>
      </c>
      <c r="BB15">
        <v>19418.580000000002</v>
      </c>
      <c r="BC15">
        <v>19418.580000000002</v>
      </c>
      <c r="BD15">
        <v>19418.580000000002</v>
      </c>
      <c r="BE15">
        <v>19418.580000000002</v>
      </c>
      <c r="BF15">
        <v>12567.82</v>
      </c>
      <c r="BG15">
        <v>6054.54</v>
      </c>
      <c r="BH15">
        <v>1244.1300000000001</v>
      </c>
      <c r="BI15">
        <v>3022.65</v>
      </c>
      <c r="BJ15">
        <v>851.25</v>
      </c>
      <c r="BK15">
        <v>1608.69</v>
      </c>
      <c r="BL15">
        <v>5490.75</v>
      </c>
      <c r="BM15">
        <v>1146.57</v>
      </c>
      <c r="BP15" s="3">
        <v>45667</v>
      </c>
      <c r="BQ15">
        <v>18851.73</v>
      </c>
    </row>
    <row r="16" spans="1:71" x14ac:dyDescent="0.25">
      <c r="A16" t="s">
        <v>38</v>
      </c>
      <c r="B16" t="s">
        <v>50</v>
      </c>
      <c r="C16" s="2">
        <f>HYPERLINK("https://szao.dolgi.msk.ru/account/3470442026/", 3470442026)</f>
        <v>3470442026</v>
      </c>
      <c r="D16" t="s">
        <v>29</v>
      </c>
      <c r="E16">
        <v>18597.36</v>
      </c>
      <c r="AX16">
        <v>3.3</v>
      </c>
      <c r="AY16">
        <v>3.39</v>
      </c>
      <c r="AZ16" t="s">
        <v>40</v>
      </c>
      <c r="BA16" t="s">
        <v>49</v>
      </c>
      <c r="BB16">
        <v>18597.36</v>
      </c>
      <c r="BC16">
        <v>18597.36</v>
      </c>
      <c r="BD16">
        <v>18597.36</v>
      </c>
      <c r="BE16">
        <v>18597.36</v>
      </c>
      <c r="BF16">
        <v>13512.1</v>
      </c>
      <c r="BG16">
        <v>6640.87</v>
      </c>
      <c r="BH16">
        <v>1449.42</v>
      </c>
      <c r="BI16">
        <v>1320.19</v>
      </c>
      <c r="BJ16">
        <v>418.34</v>
      </c>
      <c r="BK16">
        <v>1433.93</v>
      </c>
      <c r="BL16">
        <v>6067.59</v>
      </c>
      <c r="BM16">
        <v>1267.02</v>
      </c>
      <c r="BP16" s="3">
        <v>45667</v>
      </c>
      <c r="BQ16">
        <v>5664.35</v>
      </c>
    </row>
    <row r="17" spans="1:71" x14ac:dyDescent="0.25">
      <c r="A17" t="s">
        <v>38</v>
      </c>
      <c r="B17" t="s">
        <v>51</v>
      </c>
      <c r="C17" s="2">
        <f>HYPERLINK("https://szao.dolgi.msk.ru/account/3470433867/", 3470433867)</f>
        <v>3470433867</v>
      </c>
      <c r="D17" t="s">
        <v>29</v>
      </c>
      <c r="E17">
        <v>143103.16</v>
      </c>
      <c r="AX17">
        <v>21.34</v>
      </c>
      <c r="AY17">
        <v>15.57</v>
      </c>
      <c r="AZ17" t="s">
        <v>40</v>
      </c>
      <c r="BA17" t="s">
        <v>36</v>
      </c>
      <c r="BB17">
        <v>143103.16</v>
      </c>
      <c r="BC17">
        <v>143103.16</v>
      </c>
      <c r="BD17">
        <v>177635.87</v>
      </c>
      <c r="BE17">
        <v>177635.87</v>
      </c>
      <c r="BF17">
        <v>138178.31</v>
      </c>
      <c r="BG17">
        <v>-34532.71</v>
      </c>
      <c r="BH17">
        <v>20133.830000000002</v>
      </c>
      <c r="BI17">
        <v>77525.179999999993</v>
      </c>
      <c r="BJ17">
        <v>24881.31</v>
      </c>
      <c r="BK17">
        <v>39795.51</v>
      </c>
      <c r="BL17">
        <v>3997.56</v>
      </c>
      <c r="BM17">
        <v>11302.48</v>
      </c>
      <c r="BN17">
        <v>4689.28</v>
      </c>
      <c r="BO17">
        <v>7473.5</v>
      </c>
      <c r="BP17" s="3">
        <v>45696</v>
      </c>
      <c r="BQ17">
        <v>4689.28</v>
      </c>
      <c r="BR17" s="3">
        <v>45496</v>
      </c>
      <c r="BS17" t="s">
        <v>53</v>
      </c>
    </row>
    <row r="18" spans="1:71" x14ac:dyDescent="0.25">
      <c r="A18" t="s">
        <v>38</v>
      </c>
      <c r="B18" t="s">
        <v>54</v>
      </c>
      <c r="C18" s="2">
        <f>HYPERLINK("https://szao.dolgi.msk.ru/account/3470433218/", 3470433218)</f>
        <v>3470433218</v>
      </c>
      <c r="D18" t="s">
        <v>29</v>
      </c>
      <c r="E18">
        <v>13855.03</v>
      </c>
      <c r="AX18">
        <v>2.63</v>
      </c>
      <c r="AY18">
        <v>2.58</v>
      </c>
      <c r="AZ18" t="s">
        <v>40</v>
      </c>
      <c r="BA18" t="s">
        <v>31</v>
      </c>
      <c r="BB18">
        <v>13855.03</v>
      </c>
      <c r="BC18">
        <v>13855.03</v>
      </c>
      <c r="BD18">
        <v>13855.03</v>
      </c>
      <c r="BE18">
        <v>13855.03</v>
      </c>
      <c r="BF18">
        <v>8489.2999999999993</v>
      </c>
      <c r="BG18">
        <v>5938.33</v>
      </c>
      <c r="BH18">
        <v>348.51</v>
      </c>
      <c r="BI18">
        <v>624.71</v>
      </c>
      <c r="BJ18">
        <v>175.93</v>
      </c>
      <c r="BK18">
        <v>402.63</v>
      </c>
      <c r="BL18">
        <v>5240.34</v>
      </c>
      <c r="BM18">
        <v>1124.58</v>
      </c>
      <c r="BP18" s="3">
        <v>45642</v>
      </c>
      <c r="BQ18">
        <v>9975.14</v>
      </c>
    </row>
    <row r="19" spans="1:71" x14ac:dyDescent="0.25">
      <c r="A19" t="s">
        <v>38</v>
      </c>
      <c r="B19" t="s">
        <v>55</v>
      </c>
      <c r="C19" s="2">
        <f>HYPERLINK("https://szao.dolgi.msk.ru/account/3470441672/", 3470441672)</f>
        <v>3470441672</v>
      </c>
      <c r="D19" t="s">
        <v>29</v>
      </c>
      <c r="E19">
        <v>251613.34</v>
      </c>
      <c r="AX19">
        <v>20.260000000000002</v>
      </c>
      <c r="AY19">
        <v>18.61</v>
      </c>
      <c r="AZ19" t="s">
        <v>56</v>
      </c>
      <c r="BA19" t="s">
        <v>36</v>
      </c>
      <c r="BB19">
        <v>251613.34</v>
      </c>
      <c r="BC19">
        <v>251613.34</v>
      </c>
      <c r="BD19">
        <v>251613.34</v>
      </c>
      <c r="BE19">
        <v>251613.34</v>
      </c>
      <c r="BF19">
        <v>237774.23</v>
      </c>
      <c r="BG19">
        <v>26455.439999999999</v>
      </c>
      <c r="BH19">
        <v>35736.019999999997</v>
      </c>
      <c r="BI19">
        <v>77478.25</v>
      </c>
      <c r="BJ19">
        <v>21623.84</v>
      </c>
      <c r="BK19">
        <v>44649.89</v>
      </c>
      <c r="BL19">
        <v>38218.370000000003</v>
      </c>
      <c r="BM19">
        <v>7451.53</v>
      </c>
      <c r="BN19">
        <v>5023.76</v>
      </c>
      <c r="BP19" s="3">
        <v>45682</v>
      </c>
      <c r="BQ19">
        <v>5023.76</v>
      </c>
      <c r="BR19" s="3">
        <v>45257</v>
      </c>
      <c r="BS19" t="s">
        <v>57</v>
      </c>
    </row>
    <row r="20" spans="1:71" x14ac:dyDescent="0.25">
      <c r="A20" t="s">
        <v>38</v>
      </c>
      <c r="B20" t="s">
        <v>58</v>
      </c>
      <c r="C20" s="2">
        <f>HYPERLINK("https://szao.dolgi.msk.ru/account/3470441779/", 3470441779)</f>
        <v>3470441779</v>
      </c>
      <c r="D20" t="s">
        <v>29</v>
      </c>
      <c r="E20">
        <v>7416.59</v>
      </c>
      <c r="AX20">
        <v>2.17</v>
      </c>
      <c r="AY20">
        <v>1.57</v>
      </c>
      <c r="AZ20" t="s">
        <v>40</v>
      </c>
      <c r="BA20" t="s">
        <v>31</v>
      </c>
      <c r="BB20">
        <v>7416.59</v>
      </c>
      <c r="BC20">
        <v>7416.59</v>
      </c>
      <c r="BD20">
        <v>8866.02</v>
      </c>
      <c r="BE20">
        <v>8866.02</v>
      </c>
      <c r="BF20">
        <v>2693.08</v>
      </c>
      <c r="BG20">
        <v>4330.74</v>
      </c>
      <c r="BH20">
        <v>0</v>
      </c>
      <c r="BI20">
        <v>-1449.43</v>
      </c>
      <c r="BJ20">
        <v>0</v>
      </c>
      <c r="BK20">
        <v>0</v>
      </c>
      <c r="BL20">
        <v>3751.82</v>
      </c>
      <c r="BM20">
        <v>783.46</v>
      </c>
      <c r="BP20" s="3">
        <v>45653</v>
      </c>
      <c r="BQ20">
        <v>4142.51</v>
      </c>
    </row>
    <row r="21" spans="1:71" x14ac:dyDescent="0.25">
      <c r="A21" t="s">
        <v>59</v>
      </c>
      <c r="B21" t="s">
        <v>60</v>
      </c>
      <c r="C21" s="2">
        <f>HYPERLINK("https://szao.dolgi.msk.ru/account/3470461331/", 3470461331)</f>
        <v>3470461331</v>
      </c>
      <c r="D21" t="s">
        <v>29</v>
      </c>
      <c r="E21">
        <v>255020.43</v>
      </c>
      <c r="AX21">
        <v>33.26</v>
      </c>
      <c r="AY21">
        <v>26.68</v>
      </c>
      <c r="AZ21" t="s">
        <v>56</v>
      </c>
      <c r="BA21" t="s">
        <v>36</v>
      </c>
      <c r="BB21">
        <v>255020.43</v>
      </c>
      <c r="BC21">
        <v>255020.43</v>
      </c>
      <c r="BD21">
        <v>255020.43</v>
      </c>
      <c r="BE21">
        <v>255020.43</v>
      </c>
      <c r="BF21">
        <v>245463.06</v>
      </c>
      <c r="BG21">
        <v>64423.71</v>
      </c>
      <c r="BH21">
        <v>16590.689999999999</v>
      </c>
      <c r="BI21">
        <v>39721.550000000003</v>
      </c>
      <c r="BJ21">
        <v>12944.08</v>
      </c>
      <c r="BK21">
        <v>20634.12</v>
      </c>
      <c r="BL21">
        <v>89637.56</v>
      </c>
      <c r="BM21">
        <v>11068.72</v>
      </c>
      <c r="BP21" s="3">
        <v>44336</v>
      </c>
      <c r="BQ21">
        <v>87034.6</v>
      </c>
      <c r="BR21" s="3">
        <v>45170</v>
      </c>
      <c r="BS21" t="s">
        <v>61</v>
      </c>
    </row>
    <row r="22" spans="1:71" x14ac:dyDescent="0.25">
      <c r="A22" t="s">
        <v>59</v>
      </c>
      <c r="B22" t="s">
        <v>62</v>
      </c>
      <c r="C22" s="2">
        <f>HYPERLINK("https://szao.dolgi.msk.ru/account/3470461681/", 3470461681)</f>
        <v>3470461681</v>
      </c>
      <c r="D22" t="s">
        <v>29</v>
      </c>
      <c r="E22">
        <v>104371.4</v>
      </c>
      <c r="AX22">
        <v>9.99</v>
      </c>
      <c r="AY22">
        <v>9.35</v>
      </c>
      <c r="AZ22" t="s">
        <v>45</v>
      </c>
      <c r="BA22" t="s">
        <v>63</v>
      </c>
      <c r="BB22">
        <v>104371.4</v>
      </c>
      <c r="BC22">
        <v>104371.4</v>
      </c>
      <c r="BD22">
        <v>104371.4</v>
      </c>
      <c r="BE22">
        <v>104371.4</v>
      </c>
      <c r="BF22">
        <v>93211.09</v>
      </c>
      <c r="BG22">
        <v>23544.95</v>
      </c>
      <c r="BH22">
        <v>7955.94</v>
      </c>
      <c r="BI22">
        <v>19784.77</v>
      </c>
      <c r="BJ22">
        <v>5443.52</v>
      </c>
      <c r="BK22">
        <v>10372.790000000001</v>
      </c>
      <c r="BL22">
        <v>32503.119999999999</v>
      </c>
      <c r="BM22">
        <v>4766.3100000000004</v>
      </c>
      <c r="BP22" s="3">
        <v>45377</v>
      </c>
      <c r="BQ22">
        <v>175783.8</v>
      </c>
      <c r="BR22" s="3">
        <v>45448</v>
      </c>
      <c r="BS22" t="s">
        <v>64</v>
      </c>
    </row>
    <row r="23" spans="1:71" x14ac:dyDescent="0.25">
      <c r="A23" t="s">
        <v>59</v>
      </c>
      <c r="B23" t="s">
        <v>65</v>
      </c>
      <c r="C23" s="2">
        <f>HYPERLINK("https://szao.dolgi.msk.ru/account/3470462115/", 3470462115)</f>
        <v>3470462115</v>
      </c>
      <c r="D23" t="s">
        <v>29</v>
      </c>
      <c r="E23">
        <v>45329.05</v>
      </c>
      <c r="AX23">
        <v>6.78</v>
      </c>
      <c r="AY23">
        <v>6.93</v>
      </c>
      <c r="AZ23" t="s">
        <v>40</v>
      </c>
      <c r="BA23" t="s">
        <v>66</v>
      </c>
      <c r="BB23">
        <v>45329.05</v>
      </c>
      <c r="BC23">
        <v>45329.05</v>
      </c>
      <c r="BD23">
        <v>45329.05</v>
      </c>
      <c r="BE23">
        <v>45329.05</v>
      </c>
      <c r="BF23">
        <v>38789.980000000003</v>
      </c>
      <c r="BG23">
        <v>10379.969999999999</v>
      </c>
      <c r="BH23">
        <v>3067.98</v>
      </c>
      <c r="BI23">
        <v>8626.8799999999992</v>
      </c>
      <c r="BJ23">
        <v>2369.66</v>
      </c>
      <c r="BK23">
        <v>4207.8599999999997</v>
      </c>
      <c r="BL23">
        <v>14573.03</v>
      </c>
      <c r="BM23">
        <v>2103.67</v>
      </c>
      <c r="BN23">
        <v>6092.91</v>
      </c>
      <c r="BP23" s="3">
        <v>45670</v>
      </c>
      <c r="BQ23">
        <v>6092.91</v>
      </c>
      <c r="BR23" s="3">
        <v>45476</v>
      </c>
      <c r="BS23" t="s">
        <v>67</v>
      </c>
    </row>
    <row r="24" spans="1:71" x14ac:dyDescent="0.25">
      <c r="A24" t="s">
        <v>59</v>
      </c>
      <c r="B24" t="s">
        <v>68</v>
      </c>
      <c r="C24" s="2">
        <f>HYPERLINK("https://szao.dolgi.msk.ru/account/3470463222/", 3470463222)</f>
        <v>3470463222</v>
      </c>
      <c r="D24" t="s">
        <v>29</v>
      </c>
      <c r="E24">
        <v>279565.11</v>
      </c>
      <c r="AX24">
        <v>21.61</v>
      </c>
      <c r="AY24">
        <v>20.99</v>
      </c>
      <c r="AZ24" t="s">
        <v>69</v>
      </c>
      <c r="BA24" t="s">
        <v>36</v>
      </c>
      <c r="BB24">
        <v>280966.59000000003</v>
      </c>
      <c r="BC24">
        <v>280966.59000000003</v>
      </c>
      <c r="BD24">
        <v>279565.11</v>
      </c>
      <c r="BE24">
        <v>280966.59000000003</v>
      </c>
      <c r="BF24">
        <v>267647.88</v>
      </c>
      <c r="BG24">
        <v>42036.14</v>
      </c>
      <c r="BH24">
        <v>16422.080000000002</v>
      </c>
      <c r="BI24">
        <v>75651.990000000005</v>
      </c>
      <c r="BJ24">
        <v>19265.71</v>
      </c>
      <c r="BK24">
        <v>36873.370000000003</v>
      </c>
      <c r="BL24">
        <v>77048.289999999994</v>
      </c>
      <c r="BM24">
        <v>12267.53</v>
      </c>
      <c r="BN24">
        <v>2458.59</v>
      </c>
      <c r="BO24">
        <v>1401.48</v>
      </c>
      <c r="BP24" s="3">
        <v>45693</v>
      </c>
      <c r="BQ24">
        <v>1401.48</v>
      </c>
      <c r="BR24" s="3">
        <v>45625</v>
      </c>
      <c r="BS24" t="s">
        <v>70</v>
      </c>
    </row>
    <row r="25" spans="1:71" x14ac:dyDescent="0.25">
      <c r="A25" t="s">
        <v>59</v>
      </c>
      <c r="B25" t="s">
        <v>71</v>
      </c>
      <c r="C25" s="2">
        <f>HYPERLINK("https://szao.dolgi.msk.ru/account/3470459848/", 3470459848)</f>
        <v>3470459848</v>
      </c>
      <c r="D25" t="s">
        <v>29</v>
      </c>
      <c r="E25">
        <v>282167.51</v>
      </c>
      <c r="AX25">
        <v>28.9</v>
      </c>
      <c r="AY25">
        <v>24.66</v>
      </c>
      <c r="AZ25" t="s">
        <v>56</v>
      </c>
      <c r="BA25" t="s">
        <v>36</v>
      </c>
      <c r="BB25">
        <v>282167.51</v>
      </c>
      <c r="BC25">
        <v>282167.51</v>
      </c>
      <c r="BD25">
        <v>282167.51</v>
      </c>
      <c r="BE25">
        <v>282167.51</v>
      </c>
      <c r="BF25">
        <v>270761.51</v>
      </c>
      <c r="BG25">
        <v>36614.44</v>
      </c>
      <c r="BH25">
        <v>13206.87</v>
      </c>
      <c r="BI25">
        <v>52676.02</v>
      </c>
      <c r="BJ25">
        <v>9968.5499999999993</v>
      </c>
      <c r="BK25">
        <v>18351.580000000002</v>
      </c>
      <c r="BL25">
        <v>133424.18</v>
      </c>
      <c r="BM25">
        <v>17925.87</v>
      </c>
      <c r="BN25">
        <v>0</v>
      </c>
      <c r="BP25" s="3">
        <v>45679</v>
      </c>
      <c r="BQ25">
        <v>0</v>
      </c>
      <c r="BR25" s="3">
        <v>45625</v>
      </c>
      <c r="BS25" t="s">
        <v>72</v>
      </c>
    </row>
    <row r="26" spans="1:71" x14ac:dyDescent="0.25">
      <c r="A26" t="s">
        <v>59</v>
      </c>
      <c r="B26" t="s">
        <v>73</v>
      </c>
      <c r="C26" s="2">
        <f>HYPERLINK("https://szao.dolgi.msk.ru/account/3470459979/", 3470459979)</f>
        <v>3470459979</v>
      </c>
      <c r="D26" t="s">
        <v>29</v>
      </c>
      <c r="E26">
        <v>40957.870000000003</v>
      </c>
      <c r="AX26">
        <v>5.31</v>
      </c>
      <c r="AY26">
        <v>5.01</v>
      </c>
      <c r="AZ26" t="s">
        <v>40</v>
      </c>
      <c r="BA26" t="s">
        <v>49</v>
      </c>
      <c r="BB26">
        <v>40957.870000000003</v>
      </c>
      <c r="BC26">
        <v>40957.870000000003</v>
      </c>
      <c r="BD26">
        <v>40957.870000000003</v>
      </c>
      <c r="BE26">
        <v>40957.870000000003</v>
      </c>
      <c r="BF26">
        <v>32788.879999999997</v>
      </c>
      <c r="BG26">
        <v>14356.29</v>
      </c>
      <c r="BH26">
        <v>905.91</v>
      </c>
      <c r="BI26">
        <v>1364.82</v>
      </c>
      <c r="BJ26">
        <v>378.19</v>
      </c>
      <c r="BK26">
        <v>975.09</v>
      </c>
      <c r="BL26">
        <v>19704.009999999998</v>
      </c>
      <c r="BM26">
        <v>3273.56</v>
      </c>
      <c r="BP26" s="3">
        <v>45667</v>
      </c>
      <c r="BQ26">
        <v>6627.2</v>
      </c>
      <c r="BR26" s="3">
        <v>45475</v>
      </c>
      <c r="BS26" t="s">
        <v>74</v>
      </c>
    </row>
    <row r="27" spans="1:71" x14ac:dyDescent="0.25">
      <c r="A27" t="s">
        <v>59</v>
      </c>
      <c r="B27" t="s">
        <v>75</v>
      </c>
      <c r="C27" s="2">
        <f>HYPERLINK("https://szao.dolgi.msk.ru/account/3470460873/", 3470460873)</f>
        <v>3470460873</v>
      </c>
      <c r="D27" t="s">
        <v>29</v>
      </c>
      <c r="E27">
        <v>7765.74</v>
      </c>
      <c r="AX27">
        <v>2.66</v>
      </c>
      <c r="AY27">
        <v>1.32</v>
      </c>
      <c r="AZ27" t="s">
        <v>40</v>
      </c>
      <c r="BA27" t="s">
        <v>31</v>
      </c>
      <c r="BB27">
        <v>7765.74</v>
      </c>
      <c r="BC27">
        <v>7765.74</v>
      </c>
      <c r="BD27">
        <v>7765.74</v>
      </c>
      <c r="BE27">
        <v>7765.74</v>
      </c>
      <c r="BF27">
        <v>11210.74</v>
      </c>
      <c r="BG27">
        <v>2080.5</v>
      </c>
      <c r="BH27">
        <v>813.87</v>
      </c>
      <c r="BI27">
        <v>2601.88</v>
      </c>
      <c r="BJ27">
        <v>939.67</v>
      </c>
      <c r="BK27">
        <v>362.58</v>
      </c>
      <c r="BL27">
        <v>824.91</v>
      </c>
      <c r="BM27">
        <v>142.33000000000001</v>
      </c>
      <c r="BN27">
        <v>12316.77</v>
      </c>
      <c r="BP27" s="3">
        <v>45690</v>
      </c>
      <c r="BQ27">
        <v>9316.77</v>
      </c>
      <c r="BR27" s="3">
        <v>45348</v>
      </c>
      <c r="BS27" t="s">
        <v>76</v>
      </c>
    </row>
    <row r="28" spans="1:71" x14ac:dyDescent="0.25">
      <c r="A28" t="s">
        <v>59</v>
      </c>
      <c r="B28" t="s">
        <v>77</v>
      </c>
      <c r="C28" s="2">
        <f>HYPERLINK("https://szao.dolgi.msk.ru/account/3470460996/", 3470460996)</f>
        <v>3470460996</v>
      </c>
      <c r="D28" t="s">
        <v>29</v>
      </c>
      <c r="E28">
        <v>39354.699999999997</v>
      </c>
      <c r="AX28">
        <v>3.02</v>
      </c>
      <c r="AY28">
        <v>2.87</v>
      </c>
      <c r="AZ28" t="s">
        <v>40</v>
      </c>
      <c r="BA28" t="s">
        <v>49</v>
      </c>
      <c r="BB28">
        <v>39354.699999999997</v>
      </c>
      <c r="BC28">
        <v>39354.699999999997</v>
      </c>
      <c r="BD28">
        <v>39354.699999999997</v>
      </c>
      <c r="BE28">
        <v>39354.699999999997</v>
      </c>
      <c r="BF28">
        <v>25714.6</v>
      </c>
      <c r="BG28">
        <v>7727.98</v>
      </c>
      <c r="BH28">
        <v>3732.42</v>
      </c>
      <c r="BI28">
        <v>8877.0300000000007</v>
      </c>
      <c r="BJ28">
        <v>2499.98</v>
      </c>
      <c r="BK28">
        <v>4784.79</v>
      </c>
      <c r="BL28">
        <v>10269.01</v>
      </c>
      <c r="BM28">
        <v>1463.49</v>
      </c>
      <c r="BP28" s="3">
        <v>45615</v>
      </c>
      <c r="BQ28">
        <v>12972.35</v>
      </c>
      <c r="BR28" s="3">
        <v>45553</v>
      </c>
      <c r="BS28" t="s">
        <v>78</v>
      </c>
    </row>
    <row r="29" spans="1:71" x14ac:dyDescent="0.25">
      <c r="A29" t="s">
        <v>59</v>
      </c>
      <c r="B29" t="s">
        <v>79</v>
      </c>
      <c r="C29" s="2">
        <f>HYPERLINK("https://szao.dolgi.msk.ru/account/3470463417/", 3470463417)</f>
        <v>3470463417</v>
      </c>
      <c r="D29" t="s">
        <v>29</v>
      </c>
      <c r="E29">
        <v>288224.75</v>
      </c>
      <c r="AX29">
        <v>24.85</v>
      </c>
      <c r="AY29">
        <v>26</v>
      </c>
      <c r="AZ29" t="s">
        <v>40</v>
      </c>
      <c r="BA29" t="s">
        <v>36</v>
      </c>
      <c r="BB29">
        <v>288224.75</v>
      </c>
      <c r="BC29">
        <v>201470.48</v>
      </c>
      <c r="BD29">
        <v>288224.75</v>
      </c>
      <c r="BE29">
        <v>201470.48</v>
      </c>
      <c r="BF29">
        <v>281485.55</v>
      </c>
      <c r="BG29">
        <v>68924.52</v>
      </c>
      <c r="BH29">
        <v>21723.94</v>
      </c>
      <c r="BI29">
        <v>61631.91</v>
      </c>
      <c r="BJ29">
        <v>16434.23</v>
      </c>
      <c r="BK29">
        <v>27672.55</v>
      </c>
      <c r="BL29">
        <v>76185.84</v>
      </c>
      <c r="BM29">
        <v>15651.76</v>
      </c>
      <c r="BN29">
        <v>3616.56</v>
      </c>
      <c r="BP29" s="3">
        <v>45690</v>
      </c>
      <c r="BQ29">
        <v>3616.56</v>
      </c>
      <c r="BR29" s="3">
        <v>45567</v>
      </c>
      <c r="BS29" t="s">
        <v>81</v>
      </c>
    </row>
    <row r="30" spans="1:71" x14ac:dyDescent="0.25">
      <c r="A30" t="s">
        <v>59</v>
      </c>
      <c r="B30" t="s">
        <v>82</v>
      </c>
      <c r="C30" s="2">
        <f>HYPERLINK("https://szao.dolgi.msk.ru/account/3470463484/", 3470463484)</f>
        <v>3470463484</v>
      </c>
      <c r="D30" t="s">
        <v>29</v>
      </c>
      <c r="E30">
        <v>18855.939999999999</v>
      </c>
      <c r="AX30">
        <v>2.25</v>
      </c>
      <c r="AY30">
        <v>2.21</v>
      </c>
      <c r="AZ30" t="s">
        <v>40</v>
      </c>
      <c r="BA30" t="s">
        <v>31</v>
      </c>
      <c r="BB30">
        <v>18855.939999999999</v>
      </c>
      <c r="BC30">
        <v>18855.939999999999</v>
      </c>
      <c r="BD30">
        <v>18855.939999999999</v>
      </c>
      <c r="BE30">
        <v>18855.939999999999</v>
      </c>
      <c r="BF30">
        <v>10328.44</v>
      </c>
      <c r="BG30">
        <v>5473.9</v>
      </c>
      <c r="BH30">
        <v>814.57</v>
      </c>
      <c r="BI30">
        <v>2505.61</v>
      </c>
      <c r="BJ30">
        <v>705.64</v>
      </c>
      <c r="BK30">
        <v>1189.22</v>
      </c>
      <c r="BL30">
        <v>7131.99</v>
      </c>
      <c r="BM30">
        <v>1035.01</v>
      </c>
      <c r="BP30" s="3">
        <v>45637</v>
      </c>
      <c r="BQ30">
        <v>6594</v>
      </c>
      <c r="BR30" s="3">
        <v>45475</v>
      </c>
      <c r="BS30" t="s">
        <v>83</v>
      </c>
    </row>
    <row r="31" spans="1:71" x14ac:dyDescent="0.25">
      <c r="A31" t="s">
        <v>84</v>
      </c>
      <c r="B31" t="s">
        <v>85</v>
      </c>
      <c r="C31" s="2">
        <f>HYPERLINK("https://szao.dolgi.msk.ru/account/3470005475/", 3470005475)</f>
        <v>3470005475</v>
      </c>
      <c r="D31" t="s">
        <v>29</v>
      </c>
      <c r="E31">
        <v>10386.07</v>
      </c>
      <c r="AX31">
        <v>2.72</v>
      </c>
      <c r="AY31">
        <v>2.66</v>
      </c>
      <c r="AZ31" t="s">
        <v>40</v>
      </c>
      <c r="BA31" t="s">
        <v>31</v>
      </c>
      <c r="BB31">
        <v>10386.07</v>
      </c>
      <c r="BC31">
        <v>10386.07</v>
      </c>
      <c r="BD31">
        <v>10887.86</v>
      </c>
      <c r="BE31">
        <v>10887.86</v>
      </c>
      <c r="BF31">
        <v>6480.1</v>
      </c>
      <c r="BG31">
        <v>3776.72</v>
      </c>
      <c r="BH31">
        <v>0</v>
      </c>
      <c r="BI31">
        <v>-381.63</v>
      </c>
      <c r="BJ31">
        <v>-85.36</v>
      </c>
      <c r="BK31">
        <v>-34.799999999999997</v>
      </c>
      <c r="BL31">
        <v>6145.02</v>
      </c>
      <c r="BM31">
        <v>966.12</v>
      </c>
      <c r="BP31" s="3">
        <v>45611</v>
      </c>
      <c r="BQ31">
        <v>3511.34</v>
      </c>
      <c r="BR31" s="3">
        <v>45495</v>
      </c>
      <c r="BS31" t="s">
        <v>86</v>
      </c>
    </row>
    <row r="32" spans="1:71" x14ac:dyDescent="0.25">
      <c r="A32" t="s">
        <v>84</v>
      </c>
      <c r="B32" t="s">
        <v>87</v>
      </c>
      <c r="C32" s="2">
        <f>HYPERLINK("https://szao.dolgi.msk.ru/account/3470005512/", 3470005512)</f>
        <v>3470005512</v>
      </c>
      <c r="D32" t="s">
        <v>29</v>
      </c>
      <c r="E32">
        <v>8941.83</v>
      </c>
      <c r="AX32">
        <v>2.93</v>
      </c>
      <c r="AY32">
        <v>2.81</v>
      </c>
      <c r="AZ32" t="s">
        <v>40</v>
      </c>
      <c r="BA32" t="s">
        <v>31</v>
      </c>
      <c r="BB32">
        <v>8941.83</v>
      </c>
      <c r="BC32">
        <v>8931.3799999999992</v>
      </c>
      <c r="BD32">
        <v>8941.83</v>
      </c>
      <c r="BE32">
        <v>8931.3799999999992</v>
      </c>
      <c r="BF32">
        <v>8941.83</v>
      </c>
      <c r="BG32">
        <v>2214.33</v>
      </c>
      <c r="BH32">
        <v>393.69</v>
      </c>
      <c r="BI32">
        <v>955.53</v>
      </c>
      <c r="BJ32">
        <v>269.10000000000002</v>
      </c>
      <c r="BK32">
        <v>508.83</v>
      </c>
      <c r="BL32">
        <v>3975.36</v>
      </c>
      <c r="BM32">
        <v>624.99</v>
      </c>
      <c r="BO32">
        <v>3183.89</v>
      </c>
      <c r="BP32" s="3">
        <v>45698</v>
      </c>
      <c r="BQ32">
        <v>3183.89</v>
      </c>
    </row>
    <row r="33" spans="1:71" x14ac:dyDescent="0.25">
      <c r="A33" t="s">
        <v>84</v>
      </c>
      <c r="B33" t="s">
        <v>88</v>
      </c>
      <c r="C33" s="2">
        <f>HYPERLINK("https://szao.dolgi.msk.ru/account/3470005694/", 3470005694)</f>
        <v>3470005694</v>
      </c>
      <c r="D33" t="s">
        <v>29</v>
      </c>
      <c r="E33">
        <v>56497.62</v>
      </c>
      <c r="AX33">
        <v>11.24</v>
      </c>
      <c r="AY33">
        <v>10.73</v>
      </c>
      <c r="AZ33" t="s">
        <v>30</v>
      </c>
      <c r="BA33" t="s">
        <v>63</v>
      </c>
      <c r="BB33">
        <v>56497.62</v>
      </c>
      <c r="BC33">
        <v>54859.69</v>
      </c>
      <c r="BD33">
        <v>56943.41</v>
      </c>
      <c r="BE33">
        <v>55701.09</v>
      </c>
      <c r="BF33">
        <v>51230.14</v>
      </c>
      <c r="BG33">
        <v>18672.61</v>
      </c>
      <c r="BH33">
        <v>2709.82</v>
      </c>
      <c r="BI33">
        <v>8436.35</v>
      </c>
      <c r="BJ33">
        <v>3492.08</v>
      </c>
      <c r="BK33">
        <v>-445.79</v>
      </c>
      <c r="BL33">
        <v>19380.439999999999</v>
      </c>
      <c r="BM33">
        <v>4252.1099999999997</v>
      </c>
      <c r="BN33">
        <v>7548.95</v>
      </c>
      <c r="BP33" s="3">
        <v>45681</v>
      </c>
      <c r="BQ33">
        <v>7548.95</v>
      </c>
      <c r="BR33" s="3">
        <v>45401</v>
      </c>
      <c r="BS33" t="s">
        <v>89</v>
      </c>
    </row>
    <row r="34" spans="1:71" x14ac:dyDescent="0.25">
      <c r="A34" t="s">
        <v>84</v>
      </c>
      <c r="B34" t="s">
        <v>90</v>
      </c>
      <c r="C34" s="2">
        <f>HYPERLINK("https://szao.dolgi.msk.ru/account/3470005766/", 3470005766)</f>
        <v>3470005766</v>
      </c>
      <c r="D34" t="s">
        <v>29</v>
      </c>
      <c r="E34">
        <v>123488.41</v>
      </c>
      <c r="AX34">
        <v>13.39</v>
      </c>
      <c r="AY34">
        <v>11.56</v>
      </c>
      <c r="AZ34" t="s">
        <v>30</v>
      </c>
      <c r="BA34" t="s">
        <v>36</v>
      </c>
      <c r="BB34">
        <v>123488.41</v>
      </c>
      <c r="BC34">
        <v>123488.41</v>
      </c>
      <c r="BD34">
        <v>123488.41</v>
      </c>
      <c r="BE34">
        <v>123488.41</v>
      </c>
      <c r="BF34">
        <v>133836.06</v>
      </c>
      <c r="BG34">
        <v>90.31</v>
      </c>
      <c r="BH34">
        <v>11045.93</v>
      </c>
      <c r="BI34">
        <v>53004.79</v>
      </c>
      <c r="BJ34">
        <v>9019.9</v>
      </c>
      <c r="BK34">
        <v>5291.83</v>
      </c>
      <c r="BL34">
        <v>41880.29</v>
      </c>
      <c r="BM34">
        <v>3155.36</v>
      </c>
      <c r="BN34">
        <v>26251.69</v>
      </c>
      <c r="BP34" s="3">
        <v>45696</v>
      </c>
      <c r="BQ34">
        <v>11672.01</v>
      </c>
      <c r="BR34" s="3">
        <v>45685</v>
      </c>
      <c r="BS34" t="s">
        <v>91</v>
      </c>
    </row>
    <row r="35" spans="1:71" x14ac:dyDescent="0.25">
      <c r="A35" t="s">
        <v>84</v>
      </c>
      <c r="B35" t="s">
        <v>92</v>
      </c>
      <c r="C35" s="2">
        <f>HYPERLINK("https://szao.dolgi.msk.ru/account/3470005942/", 3470005942)</f>
        <v>3470005942</v>
      </c>
      <c r="D35" t="s">
        <v>29</v>
      </c>
      <c r="E35">
        <v>15883.23</v>
      </c>
      <c r="AX35">
        <v>4.26</v>
      </c>
      <c r="AY35">
        <v>3.85</v>
      </c>
      <c r="AZ35" t="s">
        <v>30</v>
      </c>
      <c r="BA35" t="s">
        <v>49</v>
      </c>
      <c r="BB35">
        <v>15883.23</v>
      </c>
      <c r="BC35">
        <v>15883.23</v>
      </c>
      <c r="BD35">
        <v>15883.23</v>
      </c>
      <c r="BE35">
        <v>15883.23</v>
      </c>
      <c r="BF35">
        <v>11752.72</v>
      </c>
      <c r="BG35">
        <v>4898.18</v>
      </c>
      <c r="BH35">
        <v>728.66</v>
      </c>
      <c r="BI35">
        <v>763.98</v>
      </c>
      <c r="BJ35">
        <v>253.59</v>
      </c>
      <c r="BK35">
        <v>754.53</v>
      </c>
      <c r="BL35">
        <v>7280.87</v>
      </c>
      <c r="BM35">
        <v>1203.42</v>
      </c>
      <c r="BP35" s="3">
        <v>45622</v>
      </c>
      <c r="BQ35">
        <v>11062.38</v>
      </c>
      <c r="BR35" s="3">
        <v>45672</v>
      </c>
      <c r="BS35" t="s">
        <v>93</v>
      </c>
    </row>
    <row r="36" spans="1:71" x14ac:dyDescent="0.25">
      <c r="A36" t="s">
        <v>94</v>
      </c>
      <c r="B36" t="s">
        <v>34</v>
      </c>
      <c r="C36" s="2">
        <f>HYPERLINK("https://szao.dolgi.msk.ru/account/3470007198/", 3470007198)</f>
        <v>3470007198</v>
      </c>
      <c r="D36" t="s">
        <v>29</v>
      </c>
      <c r="E36">
        <v>9987.76</v>
      </c>
      <c r="AX36">
        <v>3.83</v>
      </c>
      <c r="AY36">
        <v>3.86</v>
      </c>
      <c r="AZ36" t="s">
        <v>69</v>
      </c>
      <c r="BA36" t="s">
        <v>49</v>
      </c>
      <c r="BB36">
        <v>9987.76</v>
      </c>
      <c r="BC36">
        <v>9987.76</v>
      </c>
      <c r="BD36">
        <v>9987.76</v>
      </c>
      <c r="BE36">
        <v>9987.76</v>
      </c>
      <c r="BF36">
        <v>7400.26</v>
      </c>
      <c r="BG36">
        <v>2341.21</v>
      </c>
      <c r="BH36">
        <v>430.56</v>
      </c>
      <c r="BI36">
        <v>732.58</v>
      </c>
      <c r="BJ36">
        <v>206.31</v>
      </c>
      <c r="BK36">
        <v>488.94</v>
      </c>
      <c r="BL36">
        <v>5045.8</v>
      </c>
      <c r="BM36">
        <v>742.36</v>
      </c>
      <c r="BP36" s="3">
        <v>45558</v>
      </c>
      <c r="BQ36">
        <v>2466.7600000000002</v>
      </c>
    </row>
    <row r="37" spans="1:71" x14ac:dyDescent="0.25">
      <c r="A37" t="s">
        <v>94</v>
      </c>
      <c r="B37" t="s">
        <v>52</v>
      </c>
      <c r="C37" s="2">
        <f>HYPERLINK("https://szao.dolgi.msk.ru/account/3470007606/", 3470007606)</f>
        <v>3470007606</v>
      </c>
      <c r="D37" t="s">
        <v>29</v>
      </c>
      <c r="E37">
        <v>7117.86</v>
      </c>
      <c r="AX37">
        <v>2.0099999999999998</v>
      </c>
      <c r="AY37">
        <v>2.02</v>
      </c>
      <c r="AZ37" t="s">
        <v>40</v>
      </c>
      <c r="BA37" t="s">
        <v>31</v>
      </c>
      <c r="BB37">
        <v>7117.86</v>
      </c>
      <c r="BC37">
        <v>7117.86</v>
      </c>
      <c r="BD37">
        <v>7117.86</v>
      </c>
      <c r="BE37">
        <v>7117.86</v>
      </c>
      <c r="BF37">
        <v>3590.2</v>
      </c>
      <c r="BG37">
        <v>1903.27</v>
      </c>
      <c r="BH37">
        <v>358.8</v>
      </c>
      <c r="BI37">
        <v>637.02</v>
      </c>
      <c r="BJ37">
        <v>179.4</v>
      </c>
      <c r="BK37">
        <v>413.19</v>
      </c>
      <c r="BL37">
        <v>3161.1</v>
      </c>
      <c r="BM37">
        <v>465.08</v>
      </c>
      <c r="BP37" s="3">
        <v>45650</v>
      </c>
      <c r="BQ37">
        <v>6862.35</v>
      </c>
    </row>
    <row r="38" spans="1:71" x14ac:dyDescent="0.25">
      <c r="A38" t="s">
        <v>94</v>
      </c>
      <c r="B38" t="s">
        <v>95</v>
      </c>
      <c r="C38" s="2">
        <f>HYPERLINK("https://szao.dolgi.msk.ru/account/3470007374/", 3470007374)</f>
        <v>3470007374</v>
      </c>
      <c r="D38" t="s">
        <v>29</v>
      </c>
      <c r="E38">
        <v>54624.85</v>
      </c>
      <c r="AX38">
        <v>8.56</v>
      </c>
      <c r="AY38">
        <v>8.6300000000000008</v>
      </c>
      <c r="AZ38" t="s">
        <v>40</v>
      </c>
      <c r="BA38" t="s">
        <v>66</v>
      </c>
      <c r="BB38">
        <v>54624.85</v>
      </c>
      <c r="BC38">
        <v>54624.85</v>
      </c>
      <c r="BD38">
        <v>54624.85</v>
      </c>
      <c r="BE38">
        <v>54624.85</v>
      </c>
      <c r="BF38">
        <v>48294.29</v>
      </c>
      <c r="BG38">
        <v>8201.25</v>
      </c>
      <c r="BH38">
        <v>5592.27</v>
      </c>
      <c r="BI38">
        <v>13040.09</v>
      </c>
      <c r="BJ38">
        <v>3489.84</v>
      </c>
      <c r="BK38">
        <v>7094.46</v>
      </c>
      <c r="BL38">
        <v>14905.27</v>
      </c>
      <c r="BM38">
        <v>2301.67</v>
      </c>
      <c r="BP38" s="3">
        <v>45642</v>
      </c>
      <c r="BQ38">
        <v>5331.76</v>
      </c>
      <c r="BR38" s="3">
        <v>45512</v>
      </c>
      <c r="BS38" t="s">
        <v>96</v>
      </c>
    </row>
    <row r="39" spans="1:71" x14ac:dyDescent="0.25">
      <c r="A39" t="s">
        <v>94</v>
      </c>
      <c r="B39" t="s">
        <v>92</v>
      </c>
      <c r="C39" s="2">
        <f>HYPERLINK("https://szao.dolgi.msk.ru/account/3470007948/", 3470007948)</f>
        <v>3470007948</v>
      </c>
      <c r="D39" t="s">
        <v>29</v>
      </c>
      <c r="E39">
        <v>14983.18</v>
      </c>
      <c r="AX39">
        <v>2</v>
      </c>
      <c r="AY39">
        <v>1.93</v>
      </c>
      <c r="AZ39" t="s">
        <v>69</v>
      </c>
      <c r="BA39" t="s">
        <v>31</v>
      </c>
      <c r="BB39">
        <v>14983.18</v>
      </c>
      <c r="BC39">
        <v>13962.78</v>
      </c>
      <c r="BD39">
        <v>14983.18</v>
      </c>
      <c r="BE39">
        <v>13962.78</v>
      </c>
      <c r="BF39">
        <v>7223.89</v>
      </c>
      <c r="BG39">
        <v>2479.66</v>
      </c>
      <c r="BH39">
        <v>940.33</v>
      </c>
      <c r="BI39">
        <v>4083.84</v>
      </c>
      <c r="BJ39">
        <v>1150.1099999999999</v>
      </c>
      <c r="BK39">
        <v>1604.88</v>
      </c>
      <c r="BL39">
        <v>4118.42</v>
      </c>
      <c r="BM39">
        <v>605.94000000000005</v>
      </c>
      <c r="BP39" s="3">
        <v>45582</v>
      </c>
      <c r="BQ39">
        <v>12465</v>
      </c>
    </row>
    <row r="40" spans="1:71" x14ac:dyDescent="0.25">
      <c r="A40" t="s">
        <v>97</v>
      </c>
      <c r="B40" t="s">
        <v>98</v>
      </c>
      <c r="C40" s="2">
        <f>HYPERLINK("https://szao.dolgi.msk.ru/account/3470008107/", 3470008107)</f>
        <v>3470008107</v>
      </c>
      <c r="D40" t="s">
        <v>29</v>
      </c>
      <c r="E40">
        <v>135330.51</v>
      </c>
      <c r="AX40">
        <v>36.11</v>
      </c>
      <c r="AY40">
        <v>38.880000000000003</v>
      </c>
      <c r="AZ40" t="s">
        <v>56</v>
      </c>
      <c r="BA40" t="s">
        <v>36</v>
      </c>
      <c r="BB40">
        <v>135330.51</v>
      </c>
      <c r="BC40">
        <v>135330.51</v>
      </c>
      <c r="BD40">
        <v>135330.51</v>
      </c>
      <c r="BE40">
        <v>135330.51</v>
      </c>
      <c r="BF40">
        <v>131850.20000000001</v>
      </c>
      <c r="BG40">
        <v>45248.85</v>
      </c>
      <c r="BH40">
        <v>6555.83</v>
      </c>
      <c r="BI40">
        <v>17140.669999999998</v>
      </c>
      <c r="BJ40">
        <v>4489.03</v>
      </c>
      <c r="BK40">
        <v>8454.67</v>
      </c>
      <c r="BL40">
        <v>43456.11</v>
      </c>
      <c r="BM40">
        <v>9985.35</v>
      </c>
      <c r="BP40" s="3">
        <v>45153</v>
      </c>
      <c r="BQ40">
        <v>4787.49</v>
      </c>
      <c r="BR40" s="3">
        <v>45091</v>
      </c>
      <c r="BS40" t="s">
        <v>99</v>
      </c>
    </row>
    <row r="41" spans="1:71" x14ac:dyDescent="0.25">
      <c r="A41" t="s">
        <v>97</v>
      </c>
      <c r="B41" t="s">
        <v>100</v>
      </c>
      <c r="C41" s="2">
        <f>HYPERLINK("https://szao.dolgi.msk.ru/account/3470008115/", 3470008115)</f>
        <v>3470008115</v>
      </c>
      <c r="D41" t="s">
        <v>29</v>
      </c>
      <c r="E41">
        <v>4401.1899999999996</v>
      </c>
      <c r="AX41">
        <v>4.53</v>
      </c>
      <c r="AY41">
        <v>1.02</v>
      </c>
      <c r="AZ41" t="s">
        <v>30</v>
      </c>
      <c r="BA41" t="s">
        <v>49</v>
      </c>
      <c r="BB41">
        <v>4401.1899999999996</v>
      </c>
      <c r="BC41">
        <v>4401.1899999999996</v>
      </c>
      <c r="BD41">
        <v>8143.28</v>
      </c>
      <c r="BE41">
        <v>8143.28</v>
      </c>
      <c r="BF41">
        <v>101.45</v>
      </c>
      <c r="BG41">
        <v>-1834.21</v>
      </c>
      <c r="BH41">
        <v>1420.41</v>
      </c>
      <c r="BI41">
        <v>3672.76</v>
      </c>
      <c r="BJ41">
        <v>976.55</v>
      </c>
      <c r="BK41">
        <v>1882.9</v>
      </c>
      <c r="BL41">
        <v>-1907.88</v>
      </c>
      <c r="BM41">
        <v>190.66</v>
      </c>
      <c r="BP41" s="3">
        <v>45667</v>
      </c>
      <c r="BQ41">
        <v>4.2</v>
      </c>
      <c r="BR41" s="3">
        <v>45401</v>
      </c>
      <c r="BS41" t="s">
        <v>101</v>
      </c>
    </row>
    <row r="42" spans="1:71" x14ac:dyDescent="0.25">
      <c r="A42" t="s">
        <v>102</v>
      </c>
      <c r="B42" t="s">
        <v>100</v>
      </c>
      <c r="C42" s="2">
        <f>HYPERLINK("https://szao.dolgi.msk.ru/account/3470411078/", 3470411078)</f>
        <v>3470411078</v>
      </c>
      <c r="D42" t="s">
        <v>29</v>
      </c>
      <c r="E42">
        <v>35712.58</v>
      </c>
      <c r="AX42">
        <v>4.68</v>
      </c>
      <c r="AY42">
        <v>4.6900000000000004</v>
      </c>
      <c r="AZ42" t="s">
        <v>69</v>
      </c>
      <c r="BA42" t="s">
        <v>49</v>
      </c>
      <c r="BB42">
        <v>35712.58</v>
      </c>
      <c r="BC42">
        <v>35712.58</v>
      </c>
      <c r="BD42">
        <v>35712.58</v>
      </c>
      <c r="BE42">
        <v>35712.58</v>
      </c>
      <c r="BF42">
        <v>28093.96</v>
      </c>
      <c r="BG42">
        <v>10197.73</v>
      </c>
      <c r="BH42">
        <v>2073.5500000000002</v>
      </c>
      <c r="BI42">
        <v>5037.75</v>
      </c>
      <c r="BJ42">
        <v>1418.75</v>
      </c>
      <c r="BK42">
        <v>2681.15</v>
      </c>
      <c r="BL42">
        <v>12297.35</v>
      </c>
      <c r="BM42">
        <v>2006.3</v>
      </c>
      <c r="BP42" s="3">
        <v>45525</v>
      </c>
      <c r="BQ42">
        <v>7023.49</v>
      </c>
    </row>
    <row r="43" spans="1:71" x14ac:dyDescent="0.25">
      <c r="A43" t="s">
        <v>102</v>
      </c>
      <c r="B43" t="s">
        <v>103</v>
      </c>
      <c r="C43" s="2">
        <f>HYPERLINK("https://szao.dolgi.msk.ru/account/3470411203/", 3470411203)</f>
        <v>3470411203</v>
      </c>
      <c r="D43" t="s">
        <v>29</v>
      </c>
      <c r="E43">
        <v>19467.009999999998</v>
      </c>
      <c r="AX43">
        <v>4.3899999999999997</v>
      </c>
      <c r="AY43">
        <v>4.6500000000000004</v>
      </c>
      <c r="AZ43" t="s">
        <v>40</v>
      </c>
      <c r="BA43" t="s">
        <v>49</v>
      </c>
      <c r="BB43">
        <v>19467.009999999998</v>
      </c>
      <c r="BC43">
        <v>19467.009999999998</v>
      </c>
      <c r="BD43">
        <v>19576.11</v>
      </c>
      <c r="BE43">
        <v>19576.11</v>
      </c>
      <c r="BF43">
        <v>15279.92</v>
      </c>
      <c r="BG43">
        <v>1367.86</v>
      </c>
      <c r="BH43">
        <v>-109.1</v>
      </c>
      <c r="BI43">
        <v>6860.72</v>
      </c>
      <c r="BJ43">
        <v>20.71</v>
      </c>
      <c r="BK43">
        <v>5283.59</v>
      </c>
      <c r="BL43">
        <v>5984.94</v>
      </c>
      <c r="BM43">
        <v>58.29</v>
      </c>
      <c r="BN43">
        <v>3411.11</v>
      </c>
      <c r="BP43" s="3">
        <v>45671</v>
      </c>
      <c r="BQ43">
        <v>3411.11</v>
      </c>
      <c r="BR43" s="3">
        <v>45495</v>
      </c>
      <c r="BS43" t="s">
        <v>104</v>
      </c>
    </row>
    <row r="44" spans="1:71" x14ac:dyDescent="0.25">
      <c r="A44" t="s">
        <v>102</v>
      </c>
      <c r="B44" t="s">
        <v>105</v>
      </c>
      <c r="C44" s="2">
        <f>HYPERLINK("https://szao.dolgi.msk.ru/account/3470411238/", 3470411238)</f>
        <v>3470411238</v>
      </c>
      <c r="D44" t="s">
        <v>29</v>
      </c>
      <c r="E44">
        <v>17888.310000000001</v>
      </c>
      <c r="AX44">
        <v>2.8</v>
      </c>
      <c r="AY44">
        <v>2.81</v>
      </c>
      <c r="AZ44" t="s">
        <v>69</v>
      </c>
      <c r="BA44" t="s">
        <v>31</v>
      </c>
      <c r="BB44">
        <v>17888.310000000001</v>
      </c>
      <c r="BC44">
        <v>17888.310000000001</v>
      </c>
      <c r="BD44">
        <v>17888.310000000001</v>
      </c>
      <c r="BE44">
        <v>17888.310000000001</v>
      </c>
      <c r="BF44">
        <v>11520.43</v>
      </c>
      <c r="BG44">
        <v>6263.72</v>
      </c>
      <c r="BH44">
        <v>896.99</v>
      </c>
      <c r="BI44">
        <v>1054.0999999999999</v>
      </c>
      <c r="BJ44">
        <v>298.60000000000002</v>
      </c>
      <c r="BK44">
        <v>918.2</v>
      </c>
      <c r="BL44">
        <v>7270.5</v>
      </c>
      <c r="BM44">
        <v>1186.2</v>
      </c>
      <c r="BP44" s="3">
        <v>45595</v>
      </c>
      <c r="BQ44">
        <v>5772.45</v>
      </c>
    </row>
    <row r="45" spans="1:71" x14ac:dyDescent="0.25">
      <c r="A45" t="s">
        <v>102</v>
      </c>
      <c r="B45" t="s">
        <v>106</v>
      </c>
      <c r="C45" s="2">
        <f>HYPERLINK("https://szao.dolgi.msk.ru/account/3470411297/", 3470411297)</f>
        <v>3470411297</v>
      </c>
      <c r="D45" t="s">
        <v>29</v>
      </c>
      <c r="E45">
        <v>16616.330000000002</v>
      </c>
      <c r="AX45">
        <v>2.8</v>
      </c>
      <c r="AY45">
        <v>2.81</v>
      </c>
      <c r="AZ45" t="s">
        <v>30</v>
      </c>
      <c r="BA45" t="s">
        <v>31</v>
      </c>
      <c r="BB45">
        <v>16616.330000000002</v>
      </c>
      <c r="BC45">
        <v>16616.330000000002</v>
      </c>
      <c r="BD45">
        <v>16616.330000000002</v>
      </c>
      <c r="BE45">
        <v>16616.330000000002</v>
      </c>
      <c r="BF45">
        <v>10694.88</v>
      </c>
      <c r="BG45">
        <v>4997.03</v>
      </c>
      <c r="BH45">
        <v>777.4</v>
      </c>
      <c r="BI45">
        <v>2335.7399999999998</v>
      </c>
      <c r="BJ45">
        <v>657.8</v>
      </c>
      <c r="BK45">
        <v>1101.8399999999999</v>
      </c>
      <c r="BL45">
        <v>5800.2</v>
      </c>
      <c r="BM45">
        <v>946.32</v>
      </c>
      <c r="BP45" s="3">
        <v>45607</v>
      </c>
      <c r="BQ45">
        <v>18948.73</v>
      </c>
    </row>
    <row r="46" spans="1:71" x14ac:dyDescent="0.25">
      <c r="A46" t="s">
        <v>102</v>
      </c>
      <c r="B46" t="s">
        <v>87</v>
      </c>
      <c r="C46" s="2">
        <f>HYPERLINK("https://szao.dolgi.msk.ru/account/3470411422/", 3470411422)</f>
        <v>3470411422</v>
      </c>
      <c r="D46" t="s">
        <v>29</v>
      </c>
      <c r="E46">
        <v>35688.39</v>
      </c>
      <c r="AX46">
        <v>8.42</v>
      </c>
      <c r="AY46">
        <v>6.47</v>
      </c>
      <c r="AZ46" t="s">
        <v>40</v>
      </c>
      <c r="BA46" t="s">
        <v>66</v>
      </c>
      <c r="BB46">
        <v>35688.39</v>
      </c>
      <c r="BC46">
        <v>35688.39</v>
      </c>
      <c r="BD46">
        <v>35688.39</v>
      </c>
      <c r="BE46">
        <v>35688.39</v>
      </c>
      <c r="BF46">
        <v>30173.62</v>
      </c>
      <c r="BG46">
        <v>4138.43</v>
      </c>
      <c r="BH46">
        <v>5155.34</v>
      </c>
      <c r="BI46">
        <v>14035.51</v>
      </c>
      <c r="BJ46">
        <v>3735.45</v>
      </c>
      <c r="BK46">
        <v>3982.55</v>
      </c>
      <c r="BL46">
        <v>3844.61</v>
      </c>
      <c r="BM46">
        <v>796.5</v>
      </c>
      <c r="BN46">
        <v>18059.29</v>
      </c>
      <c r="BP46" s="3">
        <v>45673</v>
      </c>
      <c r="BQ46">
        <v>18059.29</v>
      </c>
      <c r="BR46" s="3">
        <v>45699</v>
      </c>
      <c r="BS46" t="s">
        <v>107</v>
      </c>
    </row>
    <row r="47" spans="1:71" x14ac:dyDescent="0.25">
      <c r="A47" t="s">
        <v>102</v>
      </c>
      <c r="B47" t="s">
        <v>108</v>
      </c>
      <c r="C47" s="2">
        <f>HYPERLINK("https://szao.dolgi.msk.ru/account/3470411692/", 3470411692)</f>
        <v>3470411692</v>
      </c>
      <c r="D47" t="s">
        <v>29</v>
      </c>
      <c r="E47">
        <v>14401.91</v>
      </c>
      <c r="AX47">
        <v>4.0999999999999996</v>
      </c>
      <c r="AY47">
        <v>3.89</v>
      </c>
      <c r="AZ47" t="s">
        <v>40</v>
      </c>
      <c r="BA47" t="s">
        <v>49</v>
      </c>
      <c r="BB47">
        <v>14401.91</v>
      </c>
      <c r="BC47">
        <v>14401.91</v>
      </c>
      <c r="BD47">
        <v>14401.91</v>
      </c>
      <c r="BE47">
        <v>14401.91</v>
      </c>
      <c r="BF47">
        <v>10699.68</v>
      </c>
      <c r="BG47">
        <v>4116.74</v>
      </c>
      <c r="BH47">
        <v>3599.87</v>
      </c>
      <c r="BI47">
        <v>693.3</v>
      </c>
      <c r="BJ47">
        <v>192.86</v>
      </c>
      <c r="BK47">
        <v>2785.47</v>
      </c>
      <c r="BL47">
        <v>2584.09</v>
      </c>
      <c r="BM47">
        <v>429.58</v>
      </c>
      <c r="BO47">
        <v>3702.23</v>
      </c>
      <c r="BP47" s="3">
        <v>45673</v>
      </c>
      <c r="BQ47">
        <v>3702.23</v>
      </c>
      <c r="BR47" s="3">
        <v>45495</v>
      </c>
      <c r="BS47" t="s">
        <v>109</v>
      </c>
    </row>
    <row r="48" spans="1:71" x14ac:dyDescent="0.25">
      <c r="A48" t="s">
        <v>102</v>
      </c>
      <c r="B48" t="s">
        <v>110</v>
      </c>
      <c r="C48" s="2">
        <f>HYPERLINK("https://szao.dolgi.msk.ru/account/3470410892/", 3470410892)</f>
        <v>3470410892</v>
      </c>
      <c r="D48" t="s">
        <v>29</v>
      </c>
      <c r="E48">
        <v>34927.919999999998</v>
      </c>
      <c r="AX48">
        <v>2.88</v>
      </c>
      <c r="AY48">
        <v>2.9</v>
      </c>
      <c r="AZ48" t="s">
        <v>30</v>
      </c>
      <c r="BA48" t="s">
        <v>31</v>
      </c>
      <c r="BB48">
        <v>34927.919999999998</v>
      </c>
      <c r="BC48">
        <v>34927.919999999998</v>
      </c>
      <c r="BD48">
        <v>34927.919999999998</v>
      </c>
      <c r="BE48">
        <v>34927.919999999998</v>
      </c>
      <c r="BF48">
        <v>22893.599999999999</v>
      </c>
      <c r="BG48">
        <v>6275.34</v>
      </c>
      <c r="BH48">
        <v>3732.42</v>
      </c>
      <c r="BI48">
        <v>9067.98</v>
      </c>
      <c r="BJ48">
        <v>2553.75</v>
      </c>
      <c r="BK48">
        <v>4826.07</v>
      </c>
      <c r="BL48">
        <v>7283.97</v>
      </c>
      <c r="BM48">
        <v>1188.3900000000001</v>
      </c>
      <c r="BP48" s="3">
        <v>45629</v>
      </c>
      <c r="BQ48">
        <v>22619.360000000001</v>
      </c>
    </row>
    <row r="49" spans="1:71" x14ac:dyDescent="0.25">
      <c r="A49" t="s">
        <v>102</v>
      </c>
      <c r="B49" t="s">
        <v>111</v>
      </c>
      <c r="C49" s="2">
        <f>HYPERLINK("https://szao.dolgi.msk.ru/account/3470415386/", 3470415386)</f>
        <v>3470415386</v>
      </c>
      <c r="D49" t="s">
        <v>29</v>
      </c>
      <c r="E49">
        <v>55607.66</v>
      </c>
      <c r="AX49">
        <v>5.48</v>
      </c>
      <c r="AY49">
        <v>5.5</v>
      </c>
      <c r="AZ49" t="s">
        <v>45</v>
      </c>
      <c r="BA49" t="s">
        <v>49</v>
      </c>
      <c r="BB49">
        <v>55607.66</v>
      </c>
      <c r="BC49">
        <v>55607.66</v>
      </c>
      <c r="BD49">
        <v>55607.66</v>
      </c>
      <c r="BE49">
        <v>55607.66</v>
      </c>
      <c r="BF49">
        <v>45491.22</v>
      </c>
      <c r="BG49">
        <v>12694.23</v>
      </c>
      <c r="BH49">
        <v>4623.38</v>
      </c>
      <c r="BI49">
        <v>11178.53</v>
      </c>
      <c r="BJ49">
        <v>3163.35</v>
      </c>
      <c r="BK49">
        <v>5967.91</v>
      </c>
      <c r="BL49">
        <v>15458.22</v>
      </c>
      <c r="BM49">
        <v>2522.04</v>
      </c>
      <c r="BP49" s="3">
        <v>45495</v>
      </c>
      <c r="BQ49">
        <v>5008.51</v>
      </c>
    </row>
    <row r="50" spans="1:71" x14ac:dyDescent="0.25">
      <c r="A50" t="s">
        <v>102</v>
      </c>
      <c r="B50" t="s">
        <v>112</v>
      </c>
      <c r="C50" s="2">
        <f>HYPERLINK("https://szao.dolgi.msk.ru/account/3470415327/", 3470415327)</f>
        <v>3470415327</v>
      </c>
      <c r="D50" t="s">
        <v>29</v>
      </c>
      <c r="E50">
        <v>12569.94</v>
      </c>
      <c r="AX50">
        <v>2.46</v>
      </c>
      <c r="AY50">
        <v>2.3199999999999998</v>
      </c>
      <c r="AZ50" t="s">
        <v>35</v>
      </c>
      <c r="BA50" t="s">
        <v>31</v>
      </c>
      <c r="BB50">
        <v>12569.94</v>
      </c>
      <c r="BC50">
        <v>12569.94</v>
      </c>
      <c r="BD50">
        <v>12569.94</v>
      </c>
      <c r="BE50">
        <v>12569.94</v>
      </c>
      <c r="BF50">
        <v>7159.23</v>
      </c>
      <c r="BG50">
        <v>4216.68</v>
      </c>
      <c r="BH50">
        <v>772.68</v>
      </c>
      <c r="BI50">
        <v>1486.38</v>
      </c>
      <c r="BJ50">
        <v>388.96</v>
      </c>
      <c r="BK50">
        <v>1000.03</v>
      </c>
      <c r="BL50">
        <v>4068.72</v>
      </c>
      <c r="BM50">
        <v>636.49</v>
      </c>
      <c r="BN50">
        <v>5046.3999999999996</v>
      </c>
      <c r="BP50" s="3">
        <v>45671</v>
      </c>
      <c r="BQ50">
        <v>5046.3999999999996</v>
      </c>
      <c r="BR50" s="3">
        <v>44510</v>
      </c>
      <c r="BS50" t="s">
        <v>113</v>
      </c>
    </row>
    <row r="51" spans="1:71" x14ac:dyDescent="0.25">
      <c r="A51" t="s">
        <v>102</v>
      </c>
      <c r="B51" t="s">
        <v>114</v>
      </c>
      <c r="C51" s="2">
        <f>HYPERLINK("https://szao.dolgi.msk.ru/account/3470414586/", 3470414586)</f>
        <v>3470414586</v>
      </c>
      <c r="D51" t="s">
        <v>29</v>
      </c>
      <c r="E51">
        <v>63835.8</v>
      </c>
      <c r="AX51">
        <v>7.59</v>
      </c>
      <c r="AY51">
        <v>7.48</v>
      </c>
      <c r="AZ51" t="s">
        <v>45</v>
      </c>
      <c r="BA51" t="s">
        <v>66</v>
      </c>
      <c r="BB51">
        <v>63835.8</v>
      </c>
      <c r="BC51">
        <v>63835.8</v>
      </c>
      <c r="BD51">
        <v>63835.8</v>
      </c>
      <c r="BE51">
        <v>63835.8</v>
      </c>
      <c r="BF51">
        <v>56048.79</v>
      </c>
      <c r="BG51">
        <v>13467.03</v>
      </c>
      <c r="BH51">
        <v>6944.35</v>
      </c>
      <c r="BI51">
        <v>17179.27</v>
      </c>
      <c r="BJ51">
        <v>4751.37</v>
      </c>
      <c r="BK51">
        <v>9037</v>
      </c>
      <c r="BL51">
        <v>9740.0300000000007</v>
      </c>
      <c r="BM51">
        <v>2716.75</v>
      </c>
      <c r="BP51" s="3">
        <v>45405</v>
      </c>
      <c r="BQ51">
        <v>546.1</v>
      </c>
      <c r="BR51" s="3">
        <v>45226</v>
      </c>
      <c r="BS51" t="s">
        <v>115</v>
      </c>
    </row>
    <row r="52" spans="1:71" x14ac:dyDescent="0.25">
      <c r="A52" t="s">
        <v>102</v>
      </c>
      <c r="B52" t="s">
        <v>116</v>
      </c>
      <c r="C52" s="2">
        <f>HYPERLINK("https://szao.dolgi.msk.ru/account/3470414105/", 3470414105)</f>
        <v>3470414105</v>
      </c>
      <c r="D52" t="s">
        <v>29</v>
      </c>
      <c r="E52">
        <v>18347.14</v>
      </c>
      <c r="AX52">
        <v>2.64</v>
      </c>
      <c r="AY52">
        <v>3.28</v>
      </c>
      <c r="AZ52" t="s">
        <v>35</v>
      </c>
      <c r="BA52" t="s">
        <v>31</v>
      </c>
      <c r="BB52">
        <v>18347.14</v>
      </c>
      <c r="BC52">
        <v>18347.14</v>
      </c>
      <c r="BD52">
        <v>18347.14</v>
      </c>
      <c r="BE52">
        <v>18347.14</v>
      </c>
      <c r="BF52">
        <v>19313.5</v>
      </c>
      <c r="BG52">
        <v>1871.36</v>
      </c>
      <c r="BH52">
        <v>2889.17</v>
      </c>
      <c r="BI52">
        <v>7019.29</v>
      </c>
      <c r="BJ52">
        <v>1976.8</v>
      </c>
      <c r="BK52">
        <v>3735.73</v>
      </c>
      <c r="BL52">
        <v>463.8</v>
      </c>
      <c r="BM52">
        <v>390.99</v>
      </c>
      <c r="BO52">
        <v>5587.37</v>
      </c>
      <c r="BP52" s="3">
        <v>45692</v>
      </c>
      <c r="BQ52">
        <v>5587.37</v>
      </c>
    </row>
    <row r="53" spans="1:71" x14ac:dyDescent="0.25">
      <c r="A53" t="s">
        <v>102</v>
      </c>
      <c r="B53" t="s">
        <v>117</v>
      </c>
      <c r="C53" s="2">
        <f>HYPERLINK("https://szao.dolgi.msk.ru/account/3470414009/", 3470414009)</f>
        <v>3470414009</v>
      </c>
      <c r="D53" t="s">
        <v>29</v>
      </c>
      <c r="E53">
        <v>11915.18</v>
      </c>
      <c r="AX53">
        <v>2.02</v>
      </c>
      <c r="AY53">
        <v>2.0499999999999998</v>
      </c>
      <c r="AZ53" t="s">
        <v>40</v>
      </c>
      <c r="BA53" t="s">
        <v>31</v>
      </c>
      <c r="BB53">
        <v>11915.18</v>
      </c>
      <c r="BC53">
        <v>11915.18</v>
      </c>
      <c r="BD53">
        <v>11915.18</v>
      </c>
      <c r="BE53">
        <v>11915.18</v>
      </c>
      <c r="BF53">
        <v>6111.49</v>
      </c>
      <c r="BG53">
        <v>3389.98</v>
      </c>
      <c r="BH53">
        <v>550.16</v>
      </c>
      <c r="BI53">
        <v>2123.4</v>
      </c>
      <c r="BJ53">
        <v>598</v>
      </c>
      <c r="BK53">
        <v>881.48</v>
      </c>
      <c r="BL53">
        <v>3758.9</v>
      </c>
      <c r="BM53">
        <v>613.26</v>
      </c>
      <c r="BP53" s="3">
        <v>45623</v>
      </c>
      <c r="BQ53">
        <v>7202.39</v>
      </c>
    </row>
    <row r="54" spans="1:71" x14ac:dyDescent="0.25">
      <c r="A54" t="s">
        <v>102</v>
      </c>
      <c r="B54" t="s">
        <v>118</v>
      </c>
      <c r="C54" s="2">
        <f>HYPERLINK("https://szao.dolgi.msk.ru/account/3470413671/", 3470413671)</f>
        <v>3470413671</v>
      </c>
      <c r="D54" t="s">
        <v>29</v>
      </c>
      <c r="E54">
        <v>24943.59</v>
      </c>
      <c r="AX54">
        <v>5.71</v>
      </c>
      <c r="AY54">
        <v>6.07</v>
      </c>
      <c r="AZ54" t="s">
        <v>69</v>
      </c>
      <c r="BA54" t="s">
        <v>49</v>
      </c>
      <c r="BB54">
        <v>24943.59</v>
      </c>
      <c r="BC54">
        <v>24943.59</v>
      </c>
      <c r="BD54">
        <v>24943.59</v>
      </c>
      <c r="BE54">
        <v>24943.59</v>
      </c>
      <c r="BF54">
        <v>20835.13</v>
      </c>
      <c r="BG54">
        <v>7792.78</v>
      </c>
      <c r="BH54">
        <v>1150.49</v>
      </c>
      <c r="BI54">
        <v>2795.14</v>
      </c>
      <c r="BJ54">
        <v>787.18</v>
      </c>
      <c r="BK54">
        <v>1487.6</v>
      </c>
      <c r="BL54">
        <v>9397.25</v>
      </c>
      <c r="BM54">
        <v>1533.15</v>
      </c>
      <c r="BP54" s="3">
        <v>45576</v>
      </c>
      <c r="BQ54">
        <v>6762.99</v>
      </c>
      <c r="BR54" s="3">
        <v>45495</v>
      </c>
      <c r="BS54" t="s">
        <v>119</v>
      </c>
    </row>
    <row r="55" spans="1:71" x14ac:dyDescent="0.25">
      <c r="A55" t="s">
        <v>102</v>
      </c>
      <c r="B55" t="s">
        <v>120</v>
      </c>
      <c r="C55" s="2">
        <f>HYPERLINK("https://szao.dolgi.msk.ru/account/3470413655/", 3470413655)</f>
        <v>3470413655</v>
      </c>
      <c r="D55" t="s">
        <v>29</v>
      </c>
      <c r="E55">
        <v>16738.71</v>
      </c>
      <c r="AX55">
        <v>2.81</v>
      </c>
      <c r="AY55">
        <v>2.83</v>
      </c>
      <c r="AZ55" t="s">
        <v>69</v>
      </c>
      <c r="BA55" t="s">
        <v>31</v>
      </c>
      <c r="BB55">
        <v>16738.71</v>
      </c>
      <c r="BC55">
        <v>16738.71</v>
      </c>
      <c r="BD55">
        <v>16738.71</v>
      </c>
      <c r="BE55">
        <v>16738.71</v>
      </c>
      <c r="BF55">
        <v>10832.86</v>
      </c>
      <c r="BG55">
        <v>6356.69</v>
      </c>
      <c r="BH55">
        <v>478.4</v>
      </c>
      <c r="BI55">
        <v>637.02</v>
      </c>
      <c r="BJ55">
        <v>179.4</v>
      </c>
      <c r="BK55">
        <v>505.01</v>
      </c>
      <c r="BL55">
        <v>7378.41</v>
      </c>
      <c r="BM55">
        <v>1203.78</v>
      </c>
      <c r="BP55" s="3">
        <v>45583</v>
      </c>
      <c r="BQ55">
        <v>5204.09</v>
      </c>
    </row>
    <row r="56" spans="1:71" x14ac:dyDescent="0.25">
      <c r="A56" t="s">
        <v>102</v>
      </c>
      <c r="B56" t="s">
        <v>121</v>
      </c>
      <c r="C56" s="2">
        <f>HYPERLINK("https://szao.dolgi.msk.ru/account/3470413145/", 3470413145)</f>
        <v>3470413145</v>
      </c>
      <c r="D56" t="s">
        <v>29</v>
      </c>
      <c r="E56">
        <v>271767.15999999997</v>
      </c>
      <c r="AX56">
        <v>11.34</v>
      </c>
      <c r="AY56">
        <v>10.67</v>
      </c>
      <c r="AZ56" t="s">
        <v>56</v>
      </c>
      <c r="BA56" t="s">
        <v>63</v>
      </c>
      <c r="BB56">
        <v>271767.15999999997</v>
      </c>
      <c r="BC56">
        <v>271767.15999999997</v>
      </c>
      <c r="BD56">
        <v>271767.15999999997</v>
      </c>
      <c r="BE56">
        <v>271767.15999999997</v>
      </c>
      <c r="BF56">
        <v>246295.58</v>
      </c>
      <c r="BG56">
        <v>43832.61</v>
      </c>
      <c r="BH56">
        <v>43774.54</v>
      </c>
      <c r="BI56">
        <v>58699.519999999997</v>
      </c>
      <c r="BJ56">
        <v>16056.23</v>
      </c>
      <c r="BK56">
        <v>46243.360000000001</v>
      </c>
      <c r="BL56">
        <v>53885.39</v>
      </c>
      <c r="BM56">
        <v>9275.51</v>
      </c>
      <c r="BP56" s="3">
        <v>45532</v>
      </c>
      <c r="BQ56">
        <v>8311.92</v>
      </c>
      <c r="BR56" s="3">
        <v>45573</v>
      </c>
      <c r="BS56" t="s">
        <v>122</v>
      </c>
    </row>
    <row r="57" spans="1:71" x14ac:dyDescent="0.25">
      <c r="A57" t="s">
        <v>123</v>
      </c>
      <c r="B57" t="s">
        <v>124</v>
      </c>
      <c r="C57" s="2">
        <f>HYPERLINK("https://szao.dolgi.msk.ru/account/3470009767/", 3470009767)</f>
        <v>3470009767</v>
      </c>
      <c r="D57" t="s">
        <v>29</v>
      </c>
      <c r="E57">
        <v>26952.68</v>
      </c>
      <c r="AX57">
        <v>3.92</v>
      </c>
      <c r="AY57">
        <v>3.99</v>
      </c>
      <c r="AZ57" t="s">
        <v>69</v>
      </c>
      <c r="BA57" t="s">
        <v>49</v>
      </c>
      <c r="BB57">
        <v>26952.68</v>
      </c>
      <c r="BC57">
        <v>26952.68</v>
      </c>
      <c r="BD57">
        <v>26952.68</v>
      </c>
      <c r="BE57">
        <v>26952.68</v>
      </c>
      <c r="BF57">
        <v>20206.939999999999</v>
      </c>
      <c r="BG57">
        <v>7944.32</v>
      </c>
      <c r="BH57">
        <v>3133.15</v>
      </c>
      <c r="BI57">
        <v>4125.62</v>
      </c>
      <c r="BJ57">
        <v>1177.0899999999999</v>
      </c>
      <c r="BK57">
        <v>2214.3000000000002</v>
      </c>
      <c r="BL57">
        <v>6815.56</v>
      </c>
      <c r="BM57">
        <v>1542.64</v>
      </c>
      <c r="BP57" s="3">
        <v>45534</v>
      </c>
      <c r="BQ57">
        <v>17995.759999999998</v>
      </c>
      <c r="BR57" s="3">
        <v>45498</v>
      </c>
      <c r="BS57" t="s">
        <v>125</v>
      </c>
    </row>
    <row r="58" spans="1:71" x14ac:dyDescent="0.25">
      <c r="A58" t="s">
        <v>126</v>
      </c>
      <c r="B58" t="s">
        <v>127</v>
      </c>
      <c r="C58" s="2">
        <f>HYPERLINK("https://szao.dolgi.msk.ru/account/3470017396/", 3470017396)</f>
        <v>3470017396</v>
      </c>
      <c r="D58" t="s">
        <v>29</v>
      </c>
      <c r="E58">
        <v>782882.33</v>
      </c>
      <c r="AX58">
        <v>25.05</v>
      </c>
      <c r="AY58">
        <v>24.38</v>
      </c>
      <c r="AZ58" t="s">
        <v>56</v>
      </c>
      <c r="BA58" t="s">
        <v>36</v>
      </c>
      <c r="BB58">
        <v>782882.33</v>
      </c>
      <c r="BC58">
        <v>782882.33</v>
      </c>
      <c r="BD58">
        <v>782882.33</v>
      </c>
      <c r="BE58">
        <v>782882.33</v>
      </c>
      <c r="BF58">
        <v>757768.06</v>
      </c>
      <c r="BG58">
        <v>76396.2</v>
      </c>
      <c r="BH58">
        <v>74230.92</v>
      </c>
      <c r="BI58">
        <v>332504.31</v>
      </c>
      <c r="BJ58">
        <v>88346.63</v>
      </c>
      <c r="BK58">
        <v>125165.7</v>
      </c>
      <c r="BL58">
        <v>72103.320000000007</v>
      </c>
      <c r="BM58">
        <v>14135.25</v>
      </c>
      <c r="BN58">
        <v>6998.35</v>
      </c>
      <c r="BP58" s="3">
        <v>45696</v>
      </c>
      <c r="BQ58">
        <v>6998.35</v>
      </c>
      <c r="BR58" s="3">
        <v>45692</v>
      </c>
      <c r="BS58" t="s">
        <v>128</v>
      </c>
    </row>
    <row r="59" spans="1:71" x14ac:dyDescent="0.25">
      <c r="A59" t="s">
        <v>126</v>
      </c>
      <c r="B59" t="s">
        <v>129</v>
      </c>
      <c r="C59" s="2">
        <f>HYPERLINK("https://szao.dolgi.msk.ru/account/3470017177/", 3470017177)</f>
        <v>3470017177</v>
      </c>
      <c r="D59" t="s">
        <v>29</v>
      </c>
      <c r="E59">
        <v>129350.17</v>
      </c>
      <c r="AX59">
        <v>18.78</v>
      </c>
      <c r="AY59">
        <v>16.28</v>
      </c>
      <c r="AZ59" t="s">
        <v>56</v>
      </c>
      <c r="BA59" t="s">
        <v>36</v>
      </c>
      <c r="BB59">
        <v>129350.17</v>
      </c>
      <c r="BC59">
        <v>129350.17</v>
      </c>
      <c r="BD59">
        <v>129350.17</v>
      </c>
      <c r="BE59">
        <v>129350.17</v>
      </c>
      <c r="BF59">
        <v>121818.44</v>
      </c>
      <c r="BG59">
        <v>38935.199999999997</v>
      </c>
      <c r="BH59">
        <v>7986.8</v>
      </c>
      <c r="BI59">
        <v>30428.58</v>
      </c>
      <c r="BJ59">
        <v>8327.4500000000007</v>
      </c>
      <c r="BK59">
        <v>12663.81</v>
      </c>
      <c r="BL59">
        <v>23320.080000000002</v>
      </c>
      <c r="BM59">
        <v>7688.25</v>
      </c>
      <c r="BP59" s="3">
        <v>44902</v>
      </c>
      <c r="BQ59">
        <v>4066.2</v>
      </c>
      <c r="BR59" s="3">
        <v>45513</v>
      </c>
      <c r="BS59" t="s">
        <v>130</v>
      </c>
    </row>
    <row r="60" spans="1:71" x14ac:dyDescent="0.25">
      <c r="A60" t="s">
        <v>126</v>
      </c>
      <c r="B60" t="s">
        <v>131</v>
      </c>
      <c r="C60" s="2">
        <f>HYPERLINK("https://szao.dolgi.msk.ru/account/3470017193/", 3470017193)</f>
        <v>3470017193</v>
      </c>
      <c r="D60" t="s">
        <v>29</v>
      </c>
      <c r="E60">
        <v>40285.230000000003</v>
      </c>
      <c r="AX60">
        <v>5.03</v>
      </c>
      <c r="AY60">
        <v>5.78</v>
      </c>
      <c r="AZ60" t="s">
        <v>40</v>
      </c>
      <c r="BA60" t="s">
        <v>49</v>
      </c>
      <c r="BB60">
        <v>40285.230000000003</v>
      </c>
      <c r="BC60">
        <v>40285.230000000003</v>
      </c>
      <c r="BD60">
        <v>40285.230000000003</v>
      </c>
      <c r="BE60">
        <v>40285.230000000003</v>
      </c>
      <c r="BF60">
        <v>33315.54</v>
      </c>
      <c r="BG60">
        <v>6716.94</v>
      </c>
      <c r="BH60">
        <v>4792.29</v>
      </c>
      <c r="BI60">
        <v>11783.63</v>
      </c>
      <c r="BJ60">
        <v>3316.3</v>
      </c>
      <c r="BK60">
        <v>6194.44</v>
      </c>
      <c r="BL60">
        <v>6209.6</v>
      </c>
      <c r="BM60">
        <v>1272.03</v>
      </c>
      <c r="BP60" s="3">
        <v>45667</v>
      </c>
      <c r="BQ60">
        <v>5489.52</v>
      </c>
    </row>
    <row r="61" spans="1:71" x14ac:dyDescent="0.25">
      <c r="A61" t="s">
        <v>126</v>
      </c>
      <c r="B61" t="s">
        <v>92</v>
      </c>
      <c r="C61" s="2">
        <f>HYPERLINK("https://szao.dolgi.msk.ru/account/3470017337/", 3470017337)</f>
        <v>3470017337</v>
      </c>
      <c r="D61" t="s">
        <v>29</v>
      </c>
      <c r="E61">
        <v>27262.32</v>
      </c>
      <c r="AX61">
        <v>8.25</v>
      </c>
      <c r="AY61">
        <v>6.77</v>
      </c>
      <c r="AZ61" t="s">
        <v>40</v>
      </c>
      <c r="BA61" t="s">
        <v>66</v>
      </c>
      <c r="BB61">
        <v>27262.32</v>
      </c>
      <c r="BC61">
        <v>27262.32</v>
      </c>
      <c r="BD61">
        <v>33771.949999999997</v>
      </c>
      <c r="BE61">
        <v>33771.949999999997</v>
      </c>
      <c r="BF61">
        <v>23233.94</v>
      </c>
      <c r="BG61">
        <v>13279.72</v>
      </c>
      <c r="BH61">
        <v>-6509.63</v>
      </c>
      <c r="BI61">
        <v>10419.06</v>
      </c>
      <c r="BJ61">
        <v>142.86000000000001</v>
      </c>
      <c r="BK61">
        <v>6434.4</v>
      </c>
      <c r="BL61">
        <v>3495.91</v>
      </c>
      <c r="BM61">
        <v>0</v>
      </c>
      <c r="BO61">
        <v>3979.34</v>
      </c>
      <c r="BP61" s="3">
        <v>45686</v>
      </c>
      <c r="BQ61">
        <v>3979.34</v>
      </c>
      <c r="BR61" s="3">
        <v>45666</v>
      </c>
      <c r="BS61" t="s">
        <v>132</v>
      </c>
    </row>
    <row r="62" spans="1:71" x14ac:dyDescent="0.25">
      <c r="A62" t="s">
        <v>126</v>
      </c>
      <c r="B62" t="s">
        <v>133</v>
      </c>
      <c r="C62" s="2">
        <f>HYPERLINK("https://szao.dolgi.msk.ru/account/3470011656/", 3470011656)</f>
        <v>3470011656</v>
      </c>
      <c r="D62" t="s">
        <v>29</v>
      </c>
      <c r="E62">
        <v>20415.16</v>
      </c>
      <c r="AX62">
        <v>3.68</v>
      </c>
      <c r="AY62">
        <v>3.66</v>
      </c>
      <c r="AZ62" t="s">
        <v>69</v>
      </c>
      <c r="BA62" t="s">
        <v>49</v>
      </c>
      <c r="BB62">
        <v>20415.16</v>
      </c>
      <c r="BC62">
        <v>20415.16</v>
      </c>
      <c r="BD62">
        <v>20658.41</v>
      </c>
      <c r="BE62">
        <v>20658.41</v>
      </c>
      <c r="BF62">
        <v>14835.36</v>
      </c>
      <c r="BG62">
        <v>8110.76</v>
      </c>
      <c r="BH62">
        <v>1888.36</v>
      </c>
      <c r="BI62">
        <v>-189.8</v>
      </c>
      <c r="BJ62">
        <v>-53.45</v>
      </c>
      <c r="BK62">
        <v>1408.71</v>
      </c>
      <c r="BL62">
        <v>7677.82</v>
      </c>
      <c r="BM62">
        <v>1572.76</v>
      </c>
      <c r="BP62" s="3">
        <v>45596</v>
      </c>
      <c r="BQ62">
        <v>10196.93</v>
      </c>
      <c r="BR62" s="3">
        <v>45496</v>
      </c>
      <c r="BS62" t="s">
        <v>134</v>
      </c>
    </row>
    <row r="63" spans="1:71" x14ac:dyDescent="0.25">
      <c r="A63" t="s">
        <v>126</v>
      </c>
      <c r="B63" t="s">
        <v>135</v>
      </c>
      <c r="C63" s="2">
        <f>HYPERLINK("https://szao.dolgi.msk.ru/account/3470012341/", 3470012341)</f>
        <v>3470012341</v>
      </c>
      <c r="D63" t="s">
        <v>29</v>
      </c>
      <c r="E63">
        <v>385121.98</v>
      </c>
      <c r="AX63">
        <v>22.2</v>
      </c>
      <c r="AY63">
        <v>21.24</v>
      </c>
      <c r="AZ63" t="s">
        <v>56</v>
      </c>
      <c r="BA63" t="s">
        <v>36</v>
      </c>
      <c r="BB63">
        <v>385121.98</v>
      </c>
      <c r="BC63">
        <v>385121.98</v>
      </c>
      <c r="BD63">
        <v>385121.98</v>
      </c>
      <c r="BE63">
        <v>385121.98</v>
      </c>
      <c r="BF63">
        <v>366988.75</v>
      </c>
      <c r="BG63">
        <v>42376.39</v>
      </c>
      <c r="BH63">
        <v>53060.85</v>
      </c>
      <c r="BI63">
        <v>120783.54</v>
      </c>
      <c r="BJ63">
        <v>32186.06</v>
      </c>
      <c r="BK63">
        <v>65290.33</v>
      </c>
      <c r="BL63">
        <v>57733.21</v>
      </c>
      <c r="BM63">
        <v>13691.6</v>
      </c>
      <c r="BP63" s="3">
        <v>45571</v>
      </c>
      <c r="BQ63">
        <v>850</v>
      </c>
      <c r="BR63" s="3">
        <v>45496</v>
      </c>
      <c r="BS63" t="s">
        <v>137</v>
      </c>
    </row>
    <row r="64" spans="1:71" x14ac:dyDescent="0.25">
      <c r="A64" t="s">
        <v>126</v>
      </c>
      <c r="B64" t="s">
        <v>138</v>
      </c>
      <c r="C64" s="2">
        <f>HYPERLINK("https://szao.dolgi.msk.ru/account/3470012843/", 3470012843)</f>
        <v>3470012843</v>
      </c>
      <c r="D64" t="s">
        <v>29</v>
      </c>
      <c r="E64">
        <v>41961.279999999999</v>
      </c>
      <c r="AX64">
        <v>12.32</v>
      </c>
      <c r="AY64">
        <v>12.13</v>
      </c>
      <c r="AZ64" t="s">
        <v>56</v>
      </c>
      <c r="BA64" t="s">
        <v>36</v>
      </c>
      <c r="BB64">
        <v>41961.279999999999</v>
      </c>
      <c r="BC64">
        <v>41961.279999999999</v>
      </c>
      <c r="BD64">
        <v>41961.279999999999</v>
      </c>
      <c r="BE64">
        <v>41961.279999999999</v>
      </c>
      <c r="BF64">
        <v>38502.730000000003</v>
      </c>
      <c r="BG64">
        <v>19358.89</v>
      </c>
      <c r="BH64">
        <v>50.93</v>
      </c>
      <c r="BI64">
        <v>99.35</v>
      </c>
      <c r="BJ64">
        <v>29.17</v>
      </c>
      <c r="BK64">
        <v>79.94</v>
      </c>
      <c r="BL64">
        <v>18369.169999999998</v>
      </c>
      <c r="BM64">
        <v>3973.83</v>
      </c>
      <c r="BP64" s="3">
        <v>45285</v>
      </c>
      <c r="BQ64">
        <v>2907.12</v>
      </c>
      <c r="BR64" s="3">
        <v>45481</v>
      </c>
      <c r="BS64" t="s">
        <v>140</v>
      </c>
    </row>
    <row r="65" spans="1:71" x14ac:dyDescent="0.25">
      <c r="A65" t="s">
        <v>126</v>
      </c>
      <c r="B65" t="s">
        <v>141</v>
      </c>
      <c r="C65" s="2">
        <f>HYPERLINK("https://szao.dolgi.msk.ru/account/3470013109/", 3470013109)</f>
        <v>3470013109</v>
      </c>
      <c r="D65" t="s">
        <v>29</v>
      </c>
      <c r="E65">
        <v>65008.49</v>
      </c>
      <c r="AX65">
        <v>8.89</v>
      </c>
      <c r="AY65">
        <v>8.86</v>
      </c>
      <c r="AZ65" t="s">
        <v>142</v>
      </c>
      <c r="BA65" t="s">
        <v>66</v>
      </c>
      <c r="BB65">
        <v>65008.49</v>
      </c>
      <c r="BC65">
        <v>65008.49</v>
      </c>
      <c r="BD65">
        <v>65008.49</v>
      </c>
      <c r="BE65">
        <v>65008.49</v>
      </c>
      <c r="BF65">
        <v>82462.62</v>
      </c>
      <c r="BG65">
        <v>19728.830000000002</v>
      </c>
      <c r="BH65">
        <v>3901.06</v>
      </c>
      <c r="BI65">
        <v>9693.82</v>
      </c>
      <c r="BJ65">
        <v>2669.14</v>
      </c>
      <c r="BK65">
        <v>5084.78</v>
      </c>
      <c r="BL65">
        <v>19741.79</v>
      </c>
      <c r="BM65">
        <v>4189.07</v>
      </c>
      <c r="BN65">
        <v>24635.24</v>
      </c>
      <c r="BP65" s="3">
        <v>45698</v>
      </c>
      <c r="BQ65">
        <v>24635.24</v>
      </c>
      <c r="BR65" s="3">
        <v>45512</v>
      </c>
      <c r="BS65" t="s">
        <v>143</v>
      </c>
    </row>
    <row r="66" spans="1:71" x14ac:dyDescent="0.25">
      <c r="A66" t="s">
        <v>126</v>
      </c>
      <c r="B66" t="s">
        <v>144</v>
      </c>
      <c r="C66" s="2">
        <f>HYPERLINK("https://szao.dolgi.msk.ru/account/3470013547/", 3470013547)</f>
        <v>3470013547</v>
      </c>
      <c r="D66" t="s">
        <v>29</v>
      </c>
      <c r="E66">
        <v>166818.76</v>
      </c>
      <c r="AX66">
        <v>18.39</v>
      </c>
      <c r="AY66">
        <v>17.75</v>
      </c>
      <c r="AZ66" t="s">
        <v>56</v>
      </c>
      <c r="BA66" t="s">
        <v>36</v>
      </c>
      <c r="BB66">
        <v>166818.76</v>
      </c>
      <c r="BC66">
        <v>166818.76</v>
      </c>
      <c r="BD66">
        <v>166818.76</v>
      </c>
      <c r="BE66">
        <v>166818.76</v>
      </c>
      <c r="BF66">
        <v>157417.89000000001</v>
      </c>
      <c r="BG66">
        <v>27032.5</v>
      </c>
      <c r="BH66">
        <v>19316.82</v>
      </c>
      <c r="BI66">
        <v>49330.96</v>
      </c>
      <c r="BJ66">
        <v>13329.4</v>
      </c>
      <c r="BK66">
        <v>25221.5</v>
      </c>
      <c r="BL66">
        <v>27349.74</v>
      </c>
      <c r="BM66">
        <v>5237.84</v>
      </c>
      <c r="BP66" s="3">
        <v>45401</v>
      </c>
      <c r="BQ66">
        <v>4530.92</v>
      </c>
      <c r="BR66" s="3">
        <v>44644</v>
      </c>
      <c r="BS66" t="s">
        <v>145</v>
      </c>
    </row>
    <row r="67" spans="1:71" x14ac:dyDescent="0.25">
      <c r="A67" t="s">
        <v>126</v>
      </c>
      <c r="B67" t="s">
        <v>146</v>
      </c>
      <c r="C67" s="2">
        <f>HYPERLINK("https://szao.dolgi.msk.ru/account/3470013731/", 3470013731)</f>
        <v>3470013731</v>
      </c>
      <c r="D67" t="s">
        <v>29</v>
      </c>
      <c r="E67">
        <v>9968.77</v>
      </c>
      <c r="AX67">
        <v>12.2</v>
      </c>
      <c r="AY67">
        <v>1.92</v>
      </c>
      <c r="AZ67" t="s">
        <v>45</v>
      </c>
      <c r="BA67" t="s">
        <v>36</v>
      </c>
      <c r="BB67">
        <v>9968.77</v>
      </c>
      <c r="BC67">
        <v>9968.77</v>
      </c>
      <c r="BD67">
        <v>21511.8</v>
      </c>
      <c r="BE67">
        <v>21511.8</v>
      </c>
      <c r="BF67">
        <v>4780.9399999999996</v>
      </c>
      <c r="BG67">
        <v>-7767.64</v>
      </c>
      <c r="BH67">
        <v>-72.709999999999994</v>
      </c>
      <c r="BI67">
        <v>-2865.58</v>
      </c>
      <c r="BJ67">
        <v>8164.31</v>
      </c>
      <c r="BK67">
        <v>7725.07</v>
      </c>
      <c r="BL67">
        <v>5622.42</v>
      </c>
      <c r="BM67">
        <v>-837.1</v>
      </c>
      <c r="BN67">
        <v>15312.54</v>
      </c>
      <c r="BP67" s="3">
        <v>45683</v>
      </c>
      <c r="BQ67">
        <v>10274.32</v>
      </c>
      <c r="BR67" s="3">
        <v>45496</v>
      </c>
      <c r="BS67" t="s">
        <v>148</v>
      </c>
    </row>
    <row r="68" spans="1:71" x14ac:dyDescent="0.25">
      <c r="A68" t="s">
        <v>126</v>
      </c>
      <c r="B68" t="s">
        <v>149</v>
      </c>
      <c r="C68" s="2">
        <f>HYPERLINK("https://szao.dolgi.msk.ru/account/3470014048/", 3470014048)</f>
        <v>3470014048</v>
      </c>
      <c r="D68" t="s">
        <v>29</v>
      </c>
      <c r="E68">
        <v>24022.02</v>
      </c>
      <c r="AX68">
        <v>3.15</v>
      </c>
      <c r="AY68">
        <v>2.84</v>
      </c>
      <c r="AZ68" t="s">
        <v>35</v>
      </c>
      <c r="BA68" t="s">
        <v>49</v>
      </c>
      <c r="BB68">
        <v>24022.02</v>
      </c>
      <c r="BC68">
        <v>24022.02</v>
      </c>
      <c r="BD68">
        <v>24022.02</v>
      </c>
      <c r="BE68">
        <v>24022.02</v>
      </c>
      <c r="BF68">
        <v>25185.59</v>
      </c>
      <c r="BG68">
        <v>4607.84</v>
      </c>
      <c r="BH68">
        <v>3445.31</v>
      </c>
      <c r="BI68">
        <v>5556.43</v>
      </c>
      <c r="BJ68">
        <v>327.08</v>
      </c>
      <c r="BK68">
        <v>5270.27</v>
      </c>
      <c r="BL68">
        <v>3801.42</v>
      </c>
      <c r="BM68">
        <v>1013.67</v>
      </c>
      <c r="BN68">
        <v>17768.419999999998</v>
      </c>
      <c r="BP68" s="3">
        <v>45696</v>
      </c>
      <c r="BQ68">
        <v>9619.4599999999991</v>
      </c>
      <c r="BR68" s="3">
        <v>45215</v>
      </c>
      <c r="BS68" t="s">
        <v>150</v>
      </c>
    </row>
    <row r="69" spans="1:71" x14ac:dyDescent="0.25">
      <c r="A69" t="s">
        <v>126</v>
      </c>
      <c r="B69" t="s">
        <v>151</v>
      </c>
      <c r="C69" s="2">
        <f>HYPERLINK("https://szao.dolgi.msk.ru/account/3470014179/", 3470014179)</f>
        <v>3470014179</v>
      </c>
      <c r="D69" t="s">
        <v>29</v>
      </c>
      <c r="E69">
        <v>302031.82</v>
      </c>
      <c r="AX69">
        <v>24.14</v>
      </c>
      <c r="AY69">
        <v>23.39</v>
      </c>
      <c r="AZ69" t="s">
        <v>56</v>
      </c>
      <c r="BA69" t="s">
        <v>36</v>
      </c>
      <c r="BB69">
        <v>302031.82</v>
      </c>
      <c r="BC69">
        <v>302031.82</v>
      </c>
      <c r="BD69">
        <v>302031.82</v>
      </c>
      <c r="BE69">
        <v>302031.82</v>
      </c>
      <c r="BF69">
        <v>289117.38</v>
      </c>
      <c r="BG69">
        <v>30419.21</v>
      </c>
      <c r="BH69">
        <v>25032.959999999999</v>
      </c>
      <c r="BI69">
        <v>123682.39</v>
      </c>
      <c r="BJ69">
        <v>33236.589999999997</v>
      </c>
      <c r="BK69">
        <v>45117.1</v>
      </c>
      <c r="BL69">
        <v>36513.78</v>
      </c>
      <c r="BM69">
        <v>8029.79</v>
      </c>
      <c r="BP69" s="3">
        <v>44579</v>
      </c>
      <c r="BQ69">
        <v>7022.6</v>
      </c>
      <c r="BR69" s="3">
        <v>45463</v>
      </c>
      <c r="BS69" t="s">
        <v>153</v>
      </c>
    </row>
    <row r="70" spans="1:71" x14ac:dyDescent="0.25">
      <c r="A70" t="s">
        <v>126</v>
      </c>
      <c r="B70" t="s">
        <v>151</v>
      </c>
      <c r="C70" s="2">
        <f>HYPERLINK("https://szao.dolgi.msk.ru/account/3470572103/", 3470572103)</f>
        <v>3470572103</v>
      </c>
      <c r="D70" t="s">
        <v>29</v>
      </c>
      <c r="E70">
        <v>132109.95000000001</v>
      </c>
      <c r="AX70">
        <v>44.1</v>
      </c>
      <c r="AY70">
        <v>55.2</v>
      </c>
      <c r="AZ70" t="s">
        <v>69</v>
      </c>
      <c r="BA70" t="s">
        <v>36</v>
      </c>
      <c r="BB70">
        <v>132109.95000000001</v>
      </c>
      <c r="BC70">
        <v>132109.95000000001</v>
      </c>
      <c r="BD70">
        <v>132109.95000000001</v>
      </c>
      <c r="BE70">
        <v>132109.95000000001</v>
      </c>
      <c r="BF70">
        <v>129716.6</v>
      </c>
      <c r="BG70">
        <v>18582.560000000001</v>
      </c>
      <c r="BH70">
        <v>7969.44</v>
      </c>
      <c r="BI70">
        <v>42856.1</v>
      </c>
      <c r="BJ70">
        <v>11421</v>
      </c>
      <c r="BK70">
        <v>15095.78</v>
      </c>
      <c r="BL70">
        <v>29913.48</v>
      </c>
      <c r="BM70">
        <v>6271.59</v>
      </c>
      <c r="BP70" s="3">
        <v>45558</v>
      </c>
      <c r="BQ70">
        <v>0</v>
      </c>
      <c r="BR70" s="3">
        <v>45153</v>
      </c>
      <c r="BS70" t="s">
        <v>154</v>
      </c>
    </row>
    <row r="71" spans="1:71" x14ac:dyDescent="0.25">
      <c r="A71" t="s">
        <v>126</v>
      </c>
      <c r="B71" t="s">
        <v>155</v>
      </c>
      <c r="C71" s="2">
        <f>HYPERLINK("https://szao.dolgi.msk.ru/account/3470014259/", 3470014259)</f>
        <v>3470014259</v>
      </c>
      <c r="D71" t="s">
        <v>29</v>
      </c>
      <c r="E71">
        <v>26410.89</v>
      </c>
      <c r="AX71">
        <v>2.82</v>
      </c>
      <c r="AY71">
        <v>2.82</v>
      </c>
      <c r="AZ71" t="s">
        <v>30</v>
      </c>
      <c r="BA71" t="s">
        <v>31</v>
      </c>
      <c r="BB71">
        <v>26410.89</v>
      </c>
      <c r="BC71">
        <v>26410.89</v>
      </c>
      <c r="BD71">
        <v>26410.89</v>
      </c>
      <c r="BE71">
        <v>26410.89</v>
      </c>
      <c r="BF71">
        <v>17391.84</v>
      </c>
      <c r="BG71">
        <v>3451.44</v>
      </c>
      <c r="BH71">
        <v>3732.42</v>
      </c>
      <c r="BI71">
        <v>9067.98</v>
      </c>
      <c r="BJ71">
        <v>2553.75</v>
      </c>
      <c r="BK71">
        <v>4826.07</v>
      </c>
      <c r="BL71">
        <v>2125.62</v>
      </c>
      <c r="BM71">
        <v>653.61</v>
      </c>
      <c r="BP71" s="3">
        <v>45667</v>
      </c>
      <c r="BQ71">
        <v>26154.86</v>
      </c>
      <c r="BR71" s="3">
        <v>45672</v>
      </c>
      <c r="BS71" t="s">
        <v>156</v>
      </c>
    </row>
    <row r="72" spans="1:71" x14ac:dyDescent="0.25">
      <c r="A72" t="s">
        <v>126</v>
      </c>
      <c r="B72" t="s">
        <v>157</v>
      </c>
      <c r="C72" s="2">
        <f>HYPERLINK("https://szao.dolgi.msk.ru/account/3470014478/", 3470014478)</f>
        <v>3470014478</v>
      </c>
      <c r="D72" t="s">
        <v>29</v>
      </c>
      <c r="E72">
        <v>24253.35</v>
      </c>
      <c r="AX72">
        <v>3.87</v>
      </c>
      <c r="AY72">
        <v>3.95</v>
      </c>
      <c r="AZ72" t="s">
        <v>30</v>
      </c>
      <c r="BA72" t="s">
        <v>49</v>
      </c>
      <c r="BB72">
        <v>24253.35</v>
      </c>
      <c r="BC72">
        <v>24253.35</v>
      </c>
      <c r="BD72">
        <v>24253.35</v>
      </c>
      <c r="BE72">
        <v>24253.35</v>
      </c>
      <c r="BF72">
        <v>18113.099999999999</v>
      </c>
      <c r="BG72">
        <v>5772.08</v>
      </c>
      <c r="BH72">
        <v>4279.8</v>
      </c>
      <c r="BI72">
        <v>5902.18</v>
      </c>
      <c r="BJ72">
        <v>1639.36</v>
      </c>
      <c r="BK72">
        <v>3113.33</v>
      </c>
      <c r="BL72">
        <v>2943.6</v>
      </c>
      <c r="BM72">
        <v>603</v>
      </c>
      <c r="BO72">
        <v>6140.25</v>
      </c>
      <c r="BP72" s="3">
        <v>45678</v>
      </c>
      <c r="BQ72">
        <v>6140.25</v>
      </c>
      <c r="BR72" s="3">
        <v>45496</v>
      </c>
      <c r="BS72" t="s">
        <v>158</v>
      </c>
    </row>
    <row r="73" spans="1:71" x14ac:dyDescent="0.25">
      <c r="A73" t="s">
        <v>126</v>
      </c>
      <c r="B73" t="s">
        <v>159</v>
      </c>
      <c r="C73" s="2">
        <f>HYPERLINK("https://szao.dolgi.msk.ru/account/3470014646/", 3470014646)</f>
        <v>3470014646</v>
      </c>
      <c r="D73" t="s">
        <v>29</v>
      </c>
      <c r="E73">
        <v>56521.760000000002</v>
      </c>
      <c r="AX73">
        <v>14.39</v>
      </c>
      <c r="AY73">
        <v>14.06</v>
      </c>
      <c r="AZ73" t="s">
        <v>45</v>
      </c>
      <c r="BA73" t="s">
        <v>36</v>
      </c>
      <c r="BB73">
        <v>56521.760000000002</v>
      </c>
      <c r="BC73">
        <v>56521.760000000002</v>
      </c>
      <c r="BD73">
        <v>56521.760000000002</v>
      </c>
      <c r="BE73">
        <v>56521.760000000002</v>
      </c>
      <c r="BF73">
        <v>52500.41</v>
      </c>
      <c r="BG73">
        <v>16282.9</v>
      </c>
      <c r="BH73">
        <v>3534.32</v>
      </c>
      <c r="BI73">
        <v>9758.98</v>
      </c>
      <c r="BJ73">
        <v>2640</v>
      </c>
      <c r="BK73">
        <v>4806.13</v>
      </c>
      <c r="BL73">
        <v>15745.45</v>
      </c>
      <c r="BM73">
        <v>3753.98</v>
      </c>
      <c r="BP73" s="3">
        <v>45467</v>
      </c>
      <c r="BQ73">
        <v>6837.76</v>
      </c>
      <c r="BR73" s="3">
        <v>45512</v>
      </c>
      <c r="BS73" t="s">
        <v>161</v>
      </c>
    </row>
    <row r="74" spans="1:71" x14ac:dyDescent="0.25">
      <c r="A74" t="s">
        <v>126</v>
      </c>
      <c r="B74" t="s">
        <v>162</v>
      </c>
      <c r="C74" s="2">
        <f>HYPERLINK("https://szao.dolgi.msk.ru/account/3470014945/", 3470014945)</f>
        <v>3470014945</v>
      </c>
      <c r="D74" t="s">
        <v>29</v>
      </c>
      <c r="E74">
        <v>119374.56</v>
      </c>
      <c r="AX74">
        <v>35.57</v>
      </c>
      <c r="AY74">
        <v>32.74</v>
      </c>
      <c r="AZ74" t="s">
        <v>56</v>
      </c>
      <c r="BA74" t="s">
        <v>36</v>
      </c>
      <c r="BB74">
        <v>119374.56</v>
      </c>
      <c r="BC74">
        <v>119374.56</v>
      </c>
      <c r="BD74">
        <v>119374.56</v>
      </c>
      <c r="BE74">
        <v>119374.56</v>
      </c>
      <c r="BF74">
        <v>115728.82</v>
      </c>
      <c r="BG74">
        <v>18330.07</v>
      </c>
      <c r="BH74">
        <v>19279</v>
      </c>
      <c r="BI74">
        <v>17669.990000000002</v>
      </c>
      <c r="BJ74">
        <v>9891.73</v>
      </c>
      <c r="BK74">
        <v>19698.689999999999</v>
      </c>
      <c r="BL74">
        <v>23463.37</v>
      </c>
      <c r="BM74">
        <v>11041.71</v>
      </c>
      <c r="BP74" s="3">
        <v>45596</v>
      </c>
      <c r="BQ74">
        <v>0</v>
      </c>
      <c r="BR74" s="3">
        <v>45512</v>
      </c>
      <c r="BS74" t="s">
        <v>163</v>
      </c>
    </row>
    <row r="75" spans="1:71" x14ac:dyDescent="0.25">
      <c r="A75" t="s">
        <v>126</v>
      </c>
      <c r="B75" t="s">
        <v>164</v>
      </c>
      <c r="C75" s="2">
        <f>HYPERLINK("https://szao.dolgi.msk.ru/account/3470445091/", 3470445091)</f>
        <v>3470445091</v>
      </c>
      <c r="D75" t="s">
        <v>29</v>
      </c>
      <c r="E75">
        <v>23898.07</v>
      </c>
      <c r="AX75">
        <v>4.91</v>
      </c>
      <c r="AY75">
        <v>4.1500000000000004</v>
      </c>
      <c r="AZ75" t="s">
        <v>30</v>
      </c>
      <c r="BA75" t="s">
        <v>49</v>
      </c>
      <c r="BB75">
        <v>23898.07</v>
      </c>
      <c r="BC75">
        <v>23898.07</v>
      </c>
      <c r="BD75">
        <v>23898.07</v>
      </c>
      <c r="BE75">
        <v>23898.07</v>
      </c>
      <c r="BF75">
        <v>18134.88</v>
      </c>
      <c r="BG75">
        <v>6201.92</v>
      </c>
      <c r="BH75">
        <v>1977.14</v>
      </c>
      <c r="BI75">
        <v>4845</v>
      </c>
      <c r="BJ75">
        <v>1367.68</v>
      </c>
      <c r="BK75">
        <v>2565.41</v>
      </c>
      <c r="BL75">
        <v>5780.29</v>
      </c>
      <c r="BM75">
        <v>1160.6300000000001</v>
      </c>
      <c r="BP75" s="3">
        <v>45652</v>
      </c>
      <c r="BQ75">
        <v>10398.299999999999</v>
      </c>
      <c r="BR75" s="3">
        <v>45496</v>
      </c>
      <c r="BS75" t="s">
        <v>166</v>
      </c>
    </row>
    <row r="76" spans="1:71" x14ac:dyDescent="0.25">
      <c r="A76" t="s">
        <v>126</v>
      </c>
      <c r="B76" t="s">
        <v>167</v>
      </c>
      <c r="C76" s="2">
        <f>HYPERLINK("https://szao.dolgi.msk.ru/account/3470015235/", 3470015235)</f>
        <v>3470015235</v>
      </c>
      <c r="D76" t="s">
        <v>29</v>
      </c>
      <c r="E76">
        <v>16396.52</v>
      </c>
      <c r="AX76">
        <v>2.2999999999999998</v>
      </c>
      <c r="AY76">
        <v>2.44</v>
      </c>
      <c r="AZ76" t="s">
        <v>30</v>
      </c>
      <c r="BA76" t="s">
        <v>31</v>
      </c>
      <c r="BB76">
        <v>16396.52</v>
      </c>
      <c r="BC76">
        <v>16396.52</v>
      </c>
      <c r="BD76">
        <v>16396.52</v>
      </c>
      <c r="BE76">
        <v>16396.52</v>
      </c>
      <c r="BF76">
        <v>9683.35</v>
      </c>
      <c r="BG76">
        <v>4468.6099999999997</v>
      </c>
      <c r="BH76">
        <v>2093</v>
      </c>
      <c r="BI76">
        <v>2310.46</v>
      </c>
      <c r="BJ76">
        <v>657.8</v>
      </c>
      <c r="BK76">
        <v>2111.86</v>
      </c>
      <c r="BL76">
        <v>3946.39</v>
      </c>
      <c r="BM76">
        <v>808.4</v>
      </c>
      <c r="BP76" s="3">
        <v>45667</v>
      </c>
      <c r="BQ76">
        <v>25278.7</v>
      </c>
      <c r="BR76" s="3">
        <v>45496</v>
      </c>
      <c r="BS76" t="s">
        <v>168</v>
      </c>
    </row>
    <row r="77" spans="1:71" x14ac:dyDescent="0.25">
      <c r="A77" t="s">
        <v>126</v>
      </c>
      <c r="B77" t="s">
        <v>169</v>
      </c>
      <c r="C77" s="2">
        <f>HYPERLINK("https://szao.dolgi.msk.ru/account/3470015243/", 3470015243)</f>
        <v>3470015243</v>
      </c>
      <c r="D77" t="s">
        <v>29</v>
      </c>
      <c r="E77">
        <v>35280.36</v>
      </c>
      <c r="AX77">
        <v>2.89</v>
      </c>
      <c r="AY77">
        <v>3.26</v>
      </c>
      <c r="AZ77" t="s">
        <v>35</v>
      </c>
      <c r="BA77" t="s">
        <v>31</v>
      </c>
      <c r="BB77">
        <v>35280.36</v>
      </c>
      <c r="BC77">
        <v>35261.629999999997</v>
      </c>
      <c r="BD77">
        <v>35280.36</v>
      </c>
      <c r="BE77">
        <v>35261.629999999997</v>
      </c>
      <c r="BF77">
        <v>24450.720000000001</v>
      </c>
      <c r="BG77">
        <v>3756.78</v>
      </c>
      <c r="BH77">
        <v>4976.5600000000004</v>
      </c>
      <c r="BI77">
        <v>12090.64</v>
      </c>
      <c r="BJ77">
        <v>3405.02</v>
      </c>
      <c r="BK77">
        <v>6434.74</v>
      </c>
      <c r="BL77">
        <v>3831.7</v>
      </c>
      <c r="BM77">
        <v>784.92</v>
      </c>
      <c r="BO77">
        <v>10829.64</v>
      </c>
      <c r="BP77" s="3">
        <v>45685</v>
      </c>
      <c r="BQ77">
        <v>10829.64</v>
      </c>
    </row>
    <row r="78" spans="1:71" x14ac:dyDescent="0.25">
      <c r="A78" t="s">
        <v>126</v>
      </c>
      <c r="B78" t="s">
        <v>170</v>
      </c>
      <c r="C78" s="2">
        <f>HYPERLINK("https://szao.dolgi.msk.ru/account/3470015497/", 3470015497)</f>
        <v>3470015497</v>
      </c>
      <c r="D78" t="s">
        <v>29</v>
      </c>
      <c r="E78">
        <v>19242.13</v>
      </c>
      <c r="AX78">
        <v>4.28</v>
      </c>
      <c r="AY78">
        <v>3.96</v>
      </c>
      <c r="AZ78" t="s">
        <v>30</v>
      </c>
      <c r="BA78" t="s">
        <v>49</v>
      </c>
      <c r="BB78">
        <v>19242.13</v>
      </c>
      <c r="BC78">
        <v>19242.13</v>
      </c>
      <c r="BD78">
        <v>19242.13</v>
      </c>
      <c r="BE78">
        <v>19242.13</v>
      </c>
      <c r="BF78">
        <v>24962.33</v>
      </c>
      <c r="BG78">
        <v>4559.0600000000004</v>
      </c>
      <c r="BH78">
        <v>1761.26</v>
      </c>
      <c r="BI78">
        <v>3985.4</v>
      </c>
      <c r="BJ78">
        <v>1119.21</v>
      </c>
      <c r="BK78">
        <v>2214.63</v>
      </c>
      <c r="BL78">
        <v>4650</v>
      </c>
      <c r="BM78">
        <v>952.57</v>
      </c>
      <c r="BN78">
        <v>5720.2</v>
      </c>
      <c r="BO78">
        <v>4853.99</v>
      </c>
      <c r="BP78" s="3">
        <v>45693</v>
      </c>
      <c r="BQ78">
        <v>10574.19</v>
      </c>
      <c r="BR78" s="3">
        <v>45694</v>
      </c>
      <c r="BS78" t="s">
        <v>171</v>
      </c>
    </row>
    <row r="79" spans="1:71" x14ac:dyDescent="0.25">
      <c r="A79" t="s">
        <v>126</v>
      </c>
      <c r="B79" t="s">
        <v>172</v>
      </c>
      <c r="C79" s="2">
        <f>HYPERLINK("https://szao.dolgi.msk.ru/account/3470015665/", 3470015665)</f>
        <v>3470015665</v>
      </c>
      <c r="D79" t="s">
        <v>29</v>
      </c>
      <c r="E79">
        <v>6707.9</v>
      </c>
      <c r="AX79">
        <v>9.44</v>
      </c>
      <c r="AY79">
        <v>1.84</v>
      </c>
      <c r="AZ79" t="s">
        <v>40</v>
      </c>
      <c r="BA79" t="s">
        <v>63</v>
      </c>
      <c r="BB79">
        <v>6707.9</v>
      </c>
      <c r="BC79">
        <v>6707.9</v>
      </c>
      <c r="BD79">
        <v>6829.68</v>
      </c>
      <c r="BE79">
        <v>6829.68</v>
      </c>
      <c r="BF79">
        <v>3071.07</v>
      </c>
      <c r="BG79">
        <v>3308.88</v>
      </c>
      <c r="BH79">
        <v>-121.78</v>
      </c>
      <c r="BI79">
        <v>0</v>
      </c>
      <c r="BJ79">
        <v>0</v>
      </c>
      <c r="BK79">
        <v>0</v>
      </c>
      <c r="BL79">
        <v>2922.2</v>
      </c>
      <c r="BM79">
        <v>598.6</v>
      </c>
      <c r="BP79" s="3">
        <v>45653</v>
      </c>
      <c r="BQ79">
        <v>3192.85</v>
      </c>
      <c r="BR79" s="3">
        <v>44644</v>
      </c>
      <c r="BS79" t="s">
        <v>174</v>
      </c>
    </row>
    <row r="80" spans="1:71" x14ac:dyDescent="0.25">
      <c r="A80" t="s">
        <v>126</v>
      </c>
      <c r="B80" t="s">
        <v>175</v>
      </c>
      <c r="C80" s="2">
        <f>HYPERLINK("https://szao.dolgi.msk.ru/account/3470543214/", 3470543214)</f>
        <v>3470543214</v>
      </c>
      <c r="D80" t="s">
        <v>29</v>
      </c>
      <c r="E80">
        <v>20502.939999999999</v>
      </c>
      <c r="AX80">
        <v>4.84</v>
      </c>
      <c r="AY80">
        <v>4.63</v>
      </c>
      <c r="AZ80" t="s">
        <v>69</v>
      </c>
      <c r="BA80" t="s">
        <v>49</v>
      </c>
      <c r="BB80">
        <v>20502.939999999999</v>
      </c>
      <c r="BC80">
        <v>20502.939999999999</v>
      </c>
      <c r="BD80">
        <v>20502.939999999999</v>
      </c>
      <c r="BE80">
        <v>20502.939999999999</v>
      </c>
      <c r="BF80">
        <v>16073.25</v>
      </c>
      <c r="BG80">
        <v>6402.51</v>
      </c>
      <c r="BH80">
        <v>1405.3</v>
      </c>
      <c r="BI80">
        <v>2760.42</v>
      </c>
      <c r="BJ80">
        <v>777.4</v>
      </c>
      <c r="BK80">
        <v>1675.74</v>
      </c>
      <c r="BL80">
        <v>6209.57</v>
      </c>
      <c r="BM80">
        <v>1272</v>
      </c>
      <c r="BP80" s="3">
        <v>45538</v>
      </c>
      <c r="BQ80">
        <v>25295.87</v>
      </c>
      <c r="BR80" s="3">
        <v>45496</v>
      </c>
      <c r="BS80" t="s">
        <v>176</v>
      </c>
    </row>
    <row r="81" spans="1:71" x14ac:dyDescent="0.25">
      <c r="A81" t="s">
        <v>126</v>
      </c>
      <c r="B81" t="s">
        <v>177</v>
      </c>
      <c r="C81" s="2">
        <f>HYPERLINK("https://szao.dolgi.msk.ru/account/3470015999/", 3470015999)</f>
        <v>3470015999</v>
      </c>
      <c r="D81" t="s">
        <v>29</v>
      </c>
      <c r="E81">
        <v>57519.66</v>
      </c>
      <c r="AX81">
        <v>13.24</v>
      </c>
      <c r="AY81">
        <v>14.99</v>
      </c>
      <c r="AZ81" t="s">
        <v>40</v>
      </c>
      <c r="BA81" t="s">
        <v>36</v>
      </c>
      <c r="BB81">
        <v>57519.66</v>
      </c>
      <c r="BC81">
        <v>57486.76</v>
      </c>
      <c r="BD81">
        <v>57519.66</v>
      </c>
      <c r="BE81">
        <v>57486.76</v>
      </c>
      <c r="BF81">
        <v>53978.16</v>
      </c>
      <c r="BG81">
        <v>15598.2</v>
      </c>
      <c r="BH81">
        <v>4379.68</v>
      </c>
      <c r="BI81">
        <v>11584.26</v>
      </c>
      <c r="BJ81">
        <v>3083.44</v>
      </c>
      <c r="BK81">
        <v>5847.3</v>
      </c>
      <c r="BL81">
        <v>13903.74</v>
      </c>
      <c r="BM81">
        <v>3123.04</v>
      </c>
      <c r="BP81" s="3">
        <v>45638</v>
      </c>
      <c r="BQ81">
        <v>2454.91</v>
      </c>
      <c r="BR81" s="3">
        <v>45684</v>
      </c>
      <c r="BS81" t="s">
        <v>178</v>
      </c>
    </row>
    <row r="82" spans="1:71" x14ac:dyDescent="0.25">
      <c r="A82" t="s">
        <v>126</v>
      </c>
      <c r="B82" t="s">
        <v>179</v>
      </c>
      <c r="C82" s="2">
        <f>HYPERLINK("https://szao.dolgi.msk.ru/account/3470016043/", 3470016043)</f>
        <v>3470016043</v>
      </c>
      <c r="D82" t="s">
        <v>29</v>
      </c>
      <c r="E82">
        <v>204540.47</v>
      </c>
      <c r="AX82">
        <v>17.54</v>
      </c>
      <c r="AY82">
        <v>17.23</v>
      </c>
      <c r="AZ82" t="s">
        <v>56</v>
      </c>
      <c r="BA82" t="s">
        <v>36</v>
      </c>
      <c r="BB82">
        <v>204540.47</v>
      </c>
      <c r="BC82">
        <v>204540.47</v>
      </c>
      <c r="BD82">
        <v>204540.47</v>
      </c>
      <c r="BE82">
        <v>204540.47</v>
      </c>
      <c r="BF82">
        <v>192670.48</v>
      </c>
      <c r="BG82">
        <v>43369.27</v>
      </c>
      <c r="BH82">
        <v>19424.87</v>
      </c>
      <c r="BI82">
        <v>50087.63</v>
      </c>
      <c r="BJ82">
        <v>13093.74</v>
      </c>
      <c r="BK82">
        <v>26919.67</v>
      </c>
      <c r="BL82">
        <v>42368.3</v>
      </c>
      <c r="BM82">
        <v>9276.99</v>
      </c>
      <c r="BP82" s="3">
        <v>45590</v>
      </c>
      <c r="BQ82">
        <v>1014.93</v>
      </c>
      <c r="BR82" s="3">
        <v>45579</v>
      </c>
      <c r="BS82" t="s">
        <v>180</v>
      </c>
    </row>
    <row r="83" spans="1:71" x14ac:dyDescent="0.25">
      <c r="A83" t="s">
        <v>126</v>
      </c>
      <c r="B83" t="s">
        <v>181</v>
      </c>
      <c r="C83" s="2">
        <f>HYPERLINK("https://szao.dolgi.msk.ru/account/3470016115/", 3470016115)</f>
        <v>3470016115</v>
      </c>
      <c r="D83" t="s">
        <v>29</v>
      </c>
      <c r="E83">
        <v>21472.28</v>
      </c>
      <c r="AX83">
        <v>3.84</v>
      </c>
      <c r="AY83">
        <v>3.92</v>
      </c>
      <c r="AZ83" t="s">
        <v>69</v>
      </c>
      <c r="BA83" t="s">
        <v>49</v>
      </c>
      <c r="BB83">
        <v>21472.28</v>
      </c>
      <c r="BC83">
        <v>21472.28</v>
      </c>
      <c r="BD83">
        <v>21472.28</v>
      </c>
      <c r="BE83">
        <v>21472.28</v>
      </c>
      <c r="BF83">
        <v>16415.810000000001</v>
      </c>
      <c r="BG83">
        <v>8943.01</v>
      </c>
      <c r="BH83">
        <v>179.4</v>
      </c>
      <c r="BI83">
        <v>637.02</v>
      </c>
      <c r="BJ83">
        <v>179.4</v>
      </c>
      <c r="BK83">
        <v>275.45999999999998</v>
      </c>
      <c r="BL83">
        <v>9523.83</v>
      </c>
      <c r="BM83">
        <v>1734.16</v>
      </c>
      <c r="BP83" s="3">
        <v>45594</v>
      </c>
      <c r="BQ83">
        <v>13485.42</v>
      </c>
    </row>
    <row r="84" spans="1:71" x14ac:dyDescent="0.25">
      <c r="A84" t="s">
        <v>126</v>
      </c>
      <c r="B84" t="s">
        <v>182</v>
      </c>
      <c r="C84" s="2">
        <f>HYPERLINK("https://szao.dolgi.msk.ru/account/3470016297/", 3470016297)</f>
        <v>3470016297</v>
      </c>
      <c r="D84" t="s">
        <v>29</v>
      </c>
      <c r="E84">
        <v>10437.02</v>
      </c>
      <c r="AX84">
        <v>2.94</v>
      </c>
      <c r="AY84">
        <v>2.82</v>
      </c>
      <c r="AZ84" t="s">
        <v>69</v>
      </c>
      <c r="BA84" t="s">
        <v>31</v>
      </c>
      <c r="BB84">
        <v>10437.02</v>
      </c>
      <c r="BC84">
        <v>10437.02</v>
      </c>
      <c r="BD84">
        <v>10437.02</v>
      </c>
      <c r="BE84">
        <v>10437.02</v>
      </c>
      <c r="BF84">
        <v>6706.52</v>
      </c>
      <c r="BG84">
        <v>3439.82</v>
      </c>
      <c r="BH84">
        <v>680.59</v>
      </c>
      <c r="BI84">
        <v>1310.3499999999999</v>
      </c>
      <c r="BJ84">
        <v>369.02</v>
      </c>
      <c r="BK84">
        <v>805.82</v>
      </c>
      <c r="BL84">
        <v>3180</v>
      </c>
      <c r="BM84">
        <v>651.41999999999996</v>
      </c>
      <c r="BP84" s="3">
        <v>45586</v>
      </c>
      <c r="BQ84">
        <v>6538.3</v>
      </c>
    </row>
    <row r="85" spans="1:71" x14ac:dyDescent="0.25">
      <c r="A85" t="s">
        <v>126</v>
      </c>
      <c r="B85" t="s">
        <v>54</v>
      </c>
      <c r="C85" s="2">
        <f>HYPERLINK("https://szao.dolgi.msk.ru/account/3470016502/", 3470016502)</f>
        <v>3470016502</v>
      </c>
      <c r="D85" t="s">
        <v>29</v>
      </c>
      <c r="E85">
        <v>48117.32</v>
      </c>
      <c r="AX85">
        <v>4.71</v>
      </c>
      <c r="AY85">
        <v>4.6500000000000004</v>
      </c>
      <c r="AZ85" t="s">
        <v>40</v>
      </c>
      <c r="BA85" t="s">
        <v>49</v>
      </c>
      <c r="BB85">
        <v>48117.32</v>
      </c>
      <c r="BC85">
        <v>48117.32</v>
      </c>
      <c r="BD85">
        <v>48117.32</v>
      </c>
      <c r="BE85">
        <v>48117.32</v>
      </c>
      <c r="BF85">
        <v>37762.68</v>
      </c>
      <c r="BG85">
        <v>8290.6</v>
      </c>
      <c r="BH85">
        <v>3010.14</v>
      </c>
      <c r="BI85">
        <v>16692.740000000002</v>
      </c>
      <c r="BJ85">
        <v>4473.0600000000004</v>
      </c>
      <c r="BK85">
        <v>5837.02</v>
      </c>
      <c r="BL85">
        <v>8030.6</v>
      </c>
      <c r="BM85">
        <v>1783.16</v>
      </c>
      <c r="BO85">
        <v>10354.64</v>
      </c>
      <c r="BP85" s="3">
        <v>45688</v>
      </c>
      <c r="BQ85">
        <v>10354.64</v>
      </c>
    </row>
    <row r="86" spans="1:71" x14ac:dyDescent="0.25">
      <c r="A86" t="s">
        <v>126</v>
      </c>
      <c r="B86" t="s">
        <v>183</v>
      </c>
      <c r="C86" s="2">
        <f>HYPERLINK("https://szao.dolgi.msk.ru/account/3470016828/", 3470016828)</f>
        <v>3470016828</v>
      </c>
      <c r="D86" t="s">
        <v>29</v>
      </c>
      <c r="E86">
        <v>307961.76</v>
      </c>
      <c r="AX86">
        <v>21.56</v>
      </c>
      <c r="AY86">
        <v>18.309999999999999</v>
      </c>
      <c r="AZ86" t="s">
        <v>45</v>
      </c>
      <c r="BA86" t="s">
        <v>36</v>
      </c>
      <c r="BB86">
        <v>307961.76</v>
      </c>
      <c r="BC86">
        <v>307961.76</v>
      </c>
      <c r="BD86">
        <v>307961.76</v>
      </c>
      <c r="BE86">
        <v>307961.76</v>
      </c>
      <c r="BF86">
        <v>291138.87</v>
      </c>
      <c r="BG86">
        <v>42478.1</v>
      </c>
      <c r="BH86">
        <v>53453.69</v>
      </c>
      <c r="BI86">
        <v>113524</v>
      </c>
      <c r="BJ86">
        <v>32613.29</v>
      </c>
      <c r="BK86">
        <v>25467.53</v>
      </c>
      <c r="BL86">
        <v>32084.99</v>
      </c>
      <c r="BM86">
        <v>8340.16</v>
      </c>
      <c r="BP86" s="3">
        <v>45596</v>
      </c>
      <c r="BQ86">
        <v>0</v>
      </c>
      <c r="BR86" s="3">
        <v>45496</v>
      </c>
      <c r="BS86" t="s">
        <v>184</v>
      </c>
    </row>
    <row r="87" spans="1:71" x14ac:dyDescent="0.25">
      <c r="A87" t="s">
        <v>126</v>
      </c>
      <c r="B87" t="s">
        <v>185</v>
      </c>
      <c r="C87" s="2">
        <f>HYPERLINK("https://szao.dolgi.msk.ru/account/3470016932/", 3470016932)</f>
        <v>3470016932</v>
      </c>
      <c r="D87" t="s">
        <v>29</v>
      </c>
      <c r="E87">
        <v>5987.91</v>
      </c>
      <c r="AX87">
        <v>2.13</v>
      </c>
      <c r="AY87">
        <v>1.5</v>
      </c>
      <c r="AZ87" t="s">
        <v>35</v>
      </c>
      <c r="BA87" t="s">
        <v>31</v>
      </c>
      <c r="BB87">
        <v>5987.91</v>
      </c>
      <c r="BC87">
        <v>5987.91</v>
      </c>
      <c r="BD87">
        <v>6036.83</v>
      </c>
      <c r="BE87">
        <v>6036.83</v>
      </c>
      <c r="BF87">
        <v>1994.74</v>
      </c>
      <c r="BG87">
        <v>2459.9499999999998</v>
      </c>
      <c r="BH87">
        <v>249.27</v>
      </c>
      <c r="BI87">
        <v>234.96</v>
      </c>
      <c r="BJ87">
        <v>21.17</v>
      </c>
      <c r="BK87">
        <v>-48.92</v>
      </c>
      <c r="BL87">
        <v>2628.86</v>
      </c>
      <c r="BM87">
        <v>442.62</v>
      </c>
      <c r="BN87">
        <v>3397.61</v>
      </c>
      <c r="BP87" s="3">
        <v>45670</v>
      </c>
      <c r="BQ87">
        <v>3397.61</v>
      </c>
      <c r="BR87" s="3">
        <v>45488</v>
      </c>
      <c r="BS87" t="s">
        <v>186</v>
      </c>
    </row>
    <row r="88" spans="1:71" x14ac:dyDescent="0.25">
      <c r="A88" t="s">
        <v>187</v>
      </c>
      <c r="B88" t="s">
        <v>106</v>
      </c>
      <c r="C88" s="2">
        <f>HYPERLINK("https://szao.dolgi.msk.ru/account/3470017986/", 3470017986)</f>
        <v>3470017986</v>
      </c>
      <c r="D88" t="s">
        <v>29</v>
      </c>
      <c r="E88">
        <v>19789.79</v>
      </c>
      <c r="AX88">
        <v>2.4900000000000002</v>
      </c>
      <c r="AY88">
        <v>2.2999999999999998</v>
      </c>
      <c r="AZ88" t="s">
        <v>40</v>
      </c>
      <c r="BA88" t="s">
        <v>31</v>
      </c>
      <c r="BB88">
        <v>19789.79</v>
      </c>
      <c r="BC88">
        <v>19789.79</v>
      </c>
      <c r="BD88">
        <v>19789.79</v>
      </c>
      <c r="BE88">
        <v>19789.79</v>
      </c>
      <c r="BF88">
        <v>11178.07</v>
      </c>
      <c r="BG88">
        <v>5330.15</v>
      </c>
      <c r="BH88">
        <v>1210</v>
      </c>
      <c r="BI88">
        <v>5068.5200000000004</v>
      </c>
      <c r="BJ88">
        <v>1389.36</v>
      </c>
      <c r="BK88">
        <v>2017.1</v>
      </c>
      <c r="BL88">
        <v>3644.63</v>
      </c>
      <c r="BM88">
        <v>1130.03</v>
      </c>
      <c r="BP88" s="3">
        <v>45650</v>
      </c>
      <c r="BQ88">
        <v>7944.86</v>
      </c>
      <c r="BR88" s="3">
        <v>44510</v>
      </c>
      <c r="BS88" t="s">
        <v>188</v>
      </c>
    </row>
    <row r="89" spans="1:71" x14ac:dyDescent="0.25">
      <c r="A89" t="s">
        <v>187</v>
      </c>
      <c r="B89" t="s">
        <v>27</v>
      </c>
      <c r="C89" s="2">
        <f>HYPERLINK("https://szao.dolgi.msk.ru/account/3470018145/", 3470018145)</f>
        <v>3470018145</v>
      </c>
      <c r="D89" t="s">
        <v>29</v>
      </c>
      <c r="E89">
        <v>20933.439999999999</v>
      </c>
      <c r="AX89">
        <v>3.78</v>
      </c>
      <c r="AY89">
        <v>3.63</v>
      </c>
      <c r="AZ89" t="s">
        <v>30</v>
      </c>
      <c r="BA89" t="s">
        <v>49</v>
      </c>
      <c r="BB89">
        <v>20933.439999999999</v>
      </c>
      <c r="BC89">
        <v>20933.439999999999</v>
      </c>
      <c r="BD89">
        <v>20933.439999999999</v>
      </c>
      <c r="BE89">
        <v>20933.439999999999</v>
      </c>
      <c r="BF89">
        <v>15162.15</v>
      </c>
      <c r="BG89">
        <v>7836.38</v>
      </c>
      <c r="BH89">
        <v>1383.64</v>
      </c>
      <c r="BI89">
        <v>3382.4</v>
      </c>
      <c r="BJ89">
        <v>960.31</v>
      </c>
      <c r="BK89">
        <v>1773.63</v>
      </c>
      <c r="BL89">
        <v>4062.45</v>
      </c>
      <c r="BM89">
        <v>1534.63</v>
      </c>
      <c r="BP89" s="3">
        <v>45642</v>
      </c>
      <c r="BQ89">
        <v>9798.6299999999992</v>
      </c>
      <c r="BR89" s="3">
        <v>45496</v>
      </c>
      <c r="BS89" t="s">
        <v>189</v>
      </c>
    </row>
    <row r="90" spans="1:71" x14ac:dyDescent="0.25">
      <c r="A90" t="s">
        <v>187</v>
      </c>
      <c r="B90" t="s">
        <v>190</v>
      </c>
      <c r="C90" s="2">
        <f>HYPERLINK("https://szao.dolgi.msk.ru/account/3470018516/", 3470018516)</f>
        <v>3470018516</v>
      </c>
      <c r="D90" t="s">
        <v>29</v>
      </c>
      <c r="E90">
        <v>17239.150000000001</v>
      </c>
      <c r="AX90">
        <v>2.85</v>
      </c>
      <c r="AY90">
        <v>2.87</v>
      </c>
      <c r="AZ90" t="s">
        <v>40</v>
      </c>
      <c r="BA90" t="s">
        <v>31</v>
      </c>
      <c r="BB90">
        <v>17239.150000000001</v>
      </c>
      <c r="BC90">
        <v>17239.150000000001</v>
      </c>
      <c r="BD90">
        <v>17239.150000000001</v>
      </c>
      <c r="BE90">
        <v>17239.150000000001</v>
      </c>
      <c r="BF90">
        <v>11242.32</v>
      </c>
      <c r="BG90">
        <v>5229.45</v>
      </c>
      <c r="BH90">
        <v>1449.82</v>
      </c>
      <c r="BI90">
        <v>2728</v>
      </c>
      <c r="BJ90">
        <v>742.11</v>
      </c>
      <c r="BK90">
        <v>1751.81</v>
      </c>
      <c r="BL90">
        <v>4349.45</v>
      </c>
      <c r="BM90">
        <v>988.51</v>
      </c>
      <c r="BP90" s="3">
        <v>45667</v>
      </c>
      <c r="BQ90">
        <v>5843.06</v>
      </c>
    </row>
    <row r="91" spans="1:71" x14ac:dyDescent="0.25">
      <c r="A91" t="s">
        <v>187</v>
      </c>
      <c r="B91" t="s">
        <v>191</v>
      </c>
      <c r="C91" s="2">
        <f>HYPERLINK("https://szao.dolgi.msk.ru/account/3470018532/", 3470018532)</f>
        <v>3470018532</v>
      </c>
      <c r="D91" t="s">
        <v>29</v>
      </c>
      <c r="E91">
        <v>6533.25</v>
      </c>
      <c r="AX91">
        <v>9.6199999999999992</v>
      </c>
      <c r="AY91">
        <v>1.94</v>
      </c>
      <c r="AZ91" t="s">
        <v>40</v>
      </c>
      <c r="BA91" t="s">
        <v>63</v>
      </c>
      <c r="BB91">
        <v>6533.25</v>
      </c>
      <c r="BC91">
        <v>6533.25</v>
      </c>
      <c r="BD91">
        <v>6533.25</v>
      </c>
      <c r="BE91">
        <v>6533.25</v>
      </c>
      <c r="BF91">
        <v>3173.4</v>
      </c>
      <c r="BG91">
        <v>3146.68</v>
      </c>
      <c r="BH91">
        <v>52.65</v>
      </c>
      <c r="BI91">
        <v>22.05</v>
      </c>
      <c r="BJ91">
        <v>103.88</v>
      </c>
      <c r="BK91">
        <v>57.11</v>
      </c>
      <c r="BL91">
        <v>2581.62</v>
      </c>
      <c r="BM91">
        <v>569.26</v>
      </c>
      <c r="BP91" s="3">
        <v>45653</v>
      </c>
      <c r="BQ91">
        <v>2937.71</v>
      </c>
      <c r="BR91" s="3">
        <v>44531</v>
      </c>
      <c r="BS91" t="s">
        <v>192</v>
      </c>
    </row>
    <row r="92" spans="1:71" x14ac:dyDescent="0.25">
      <c r="A92" t="s">
        <v>193</v>
      </c>
      <c r="B92" t="s">
        <v>194</v>
      </c>
      <c r="C92" s="2">
        <f>HYPERLINK("https://szao.dolgi.msk.ru/account/3470018874/", 3470018874)</f>
        <v>3470018874</v>
      </c>
      <c r="D92" t="s">
        <v>29</v>
      </c>
      <c r="E92">
        <v>30167.63</v>
      </c>
      <c r="AX92">
        <v>5.59</v>
      </c>
      <c r="AY92">
        <v>5.61</v>
      </c>
      <c r="AZ92" t="s">
        <v>69</v>
      </c>
      <c r="BA92" t="s">
        <v>49</v>
      </c>
      <c r="BB92">
        <v>30167.63</v>
      </c>
      <c r="BC92">
        <v>30167.63</v>
      </c>
      <c r="BD92">
        <v>30167.63</v>
      </c>
      <c r="BE92">
        <v>30167.63</v>
      </c>
      <c r="BF92">
        <v>24790.84</v>
      </c>
      <c r="BG92">
        <v>9947.15</v>
      </c>
      <c r="BH92">
        <v>2859.37</v>
      </c>
      <c r="BI92">
        <v>3360.95</v>
      </c>
      <c r="BJ92">
        <v>945.47</v>
      </c>
      <c r="BK92">
        <v>2922.73</v>
      </c>
      <c r="BL92">
        <v>8155.74</v>
      </c>
      <c r="BM92">
        <v>1976.22</v>
      </c>
      <c r="BP92" s="3">
        <v>45572</v>
      </c>
      <c r="BQ92">
        <v>19292.84</v>
      </c>
      <c r="BR92" s="3">
        <v>45496</v>
      </c>
      <c r="BS92" t="s">
        <v>195</v>
      </c>
    </row>
    <row r="93" spans="1:71" x14ac:dyDescent="0.25">
      <c r="A93" t="s">
        <v>193</v>
      </c>
      <c r="B93" t="s">
        <v>27</v>
      </c>
      <c r="C93" s="2">
        <f>HYPERLINK("https://szao.dolgi.msk.ru/account/3470019156/", 3470019156)</f>
        <v>3470019156</v>
      </c>
      <c r="D93" t="s">
        <v>29</v>
      </c>
      <c r="E93">
        <v>36439.86</v>
      </c>
      <c r="AX93">
        <v>6.74</v>
      </c>
      <c r="AY93">
        <v>5.98</v>
      </c>
      <c r="AZ93" t="s">
        <v>40</v>
      </c>
      <c r="BA93" t="s">
        <v>66</v>
      </c>
      <c r="BB93">
        <v>36439.86</v>
      </c>
      <c r="BC93">
        <v>36439.86</v>
      </c>
      <c r="BD93">
        <v>36439.86</v>
      </c>
      <c r="BE93">
        <v>36439.86</v>
      </c>
      <c r="BF93">
        <v>30347.66</v>
      </c>
      <c r="BG93">
        <v>14199.43</v>
      </c>
      <c r="BH93">
        <v>3043.37</v>
      </c>
      <c r="BI93">
        <v>3436.56</v>
      </c>
      <c r="BJ93">
        <v>1730.73</v>
      </c>
      <c r="BK93">
        <v>3550.22</v>
      </c>
      <c r="BL93">
        <v>7183.91</v>
      </c>
      <c r="BM93">
        <v>3295.64</v>
      </c>
      <c r="BN93">
        <v>5589.3</v>
      </c>
      <c r="BP93" s="3">
        <v>45685</v>
      </c>
      <c r="BQ93">
        <v>5589.3</v>
      </c>
      <c r="BR93" s="3">
        <v>45513</v>
      </c>
      <c r="BS93" t="s">
        <v>196</v>
      </c>
    </row>
    <row r="94" spans="1:71" x14ac:dyDescent="0.25">
      <c r="A94" t="s">
        <v>193</v>
      </c>
      <c r="B94" t="s">
        <v>197</v>
      </c>
      <c r="C94" s="2">
        <f>HYPERLINK("https://szao.dolgi.msk.ru/account/3470019228/", 3470019228)</f>
        <v>3470019228</v>
      </c>
      <c r="D94" t="s">
        <v>29</v>
      </c>
      <c r="E94">
        <v>238871.37</v>
      </c>
      <c r="AX94">
        <v>25.89</v>
      </c>
      <c r="AY94">
        <v>24.77</v>
      </c>
      <c r="AZ94" t="s">
        <v>56</v>
      </c>
      <c r="BA94" t="s">
        <v>36</v>
      </c>
      <c r="BB94">
        <v>238871.37</v>
      </c>
      <c r="BC94">
        <v>238871.37</v>
      </c>
      <c r="BD94">
        <v>238871.37</v>
      </c>
      <c r="BE94">
        <v>238871.37</v>
      </c>
      <c r="BF94">
        <v>229227.01</v>
      </c>
      <c r="BG94">
        <v>45687.1</v>
      </c>
      <c r="BH94">
        <v>26377.55</v>
      </c>
      <c r="BI94">
        <v>69010.09</v>
      </c>
      <c r="BJ94">
        <v>18412.240000000002</v>
      </c>
      <c r="BK94">
        <v>34503.83</v>
      </c>
      <c r="BL94">
        <v>35975.47</v>
      </c>
      <c r="BM94">
        <v>8905.09</v>
      </c>
      <c r="BP94" s="3">
        <v>45615</v>
      </c>
      <c r="BQ94">
        <v>4442.62</v>
      </c>
      <c r="BR94" s="3">
        <v>45432</v>
      </c>
      <c r="BS94" t="s">
        <v>198</v>
      </c>
    </row>
    <row r="95" spans="1:71" x14ac:dyDescent="0.25">
      <c r="A95" t="s">
        <v>193</v>
      </c>
      <c r="B95" t="s">
        <v>129</v>
      </c>
      <c r="C95" s="2">
        <f>HYPERLINK("https://szao.dolgi.msk.ru/account/3470019383/", 3470019383)</f>
        <v>3470019383</v>
      </c>
      <c r="D95" t="s">
        <v>29</v>
      </c>
      <c r="E95">
        <v>64924.86</v>
      </c>
      <c r="AX95">
        <v>16.21</v>
      </c>
      <c r="AY95">
        <v>15.78</v>
      </c>
      <c r="AZ95" t="s">
        <v>56</v>
      </c>
      <c r="BA95" t="s">
        <v>36</v>
      </c>
      <c r="BB95">
        <v>64924.86</v>
      </c>
      <c r="BC95">
        <v>64924.86</v>
      </c>
      <c r="BD95">
        <v>64924.86</v>
      </c>
      <c r="BE95">
        <v>64924.86</v>
      </c>
      <c r="BF95">
        <v>60809.32</v>
      </c>
      <c r="BG95">
        <v>24036.2</v>
      </c>
      <c r="BH95">
        <v>8676.69</v>
      </c>
      <c r="BI95">
        <v>8756.06</v>
      </c>
      <c r="BJ95">
        <v>2088.27</v>
      </c>
      <c r="BK95">
        <v>9436.39</v>
      </c>
      <c r="BL95">
        <v>9644.85</v>
      </c>
      <c r="BM95">
        <v>2286.4</v>
      </c>
      <c r="BP95" s="3">
        <v>45667</v>
      </c>
      <c r="BQ95">
        <v>1.45</v>
      </c>
      <c r="BR95" s="3">
        <v>45513</v>
      </c>
      <c r="BS95" t="s">
        <v>199</v>
      </c>
    </row>
    <row r="96" spans="1:71" x14ac:dyDescent="0.25">
      <c r="A96" t="s">
        <v>193</v>
      </c>
      <c r="B96" t="s">
        <v>191</v>
      </c>
      <c r="C96" s="2">
        <f>HYPERLINK("https://szao.dolgi.msk.ru/account/3470019551/", 3470019551)</f>
        <v>3470019551</v>
      </c>
      <c r="D96" t="s">
        <v>29</v>
      </c>
      <c r="E96">
        <v>276573.58</v>
      </c>
      <c r="AX96">
        <v>32.130000000000003</v>
      </c>
      <c r="AY96">
        <v>27.88</v>
      </c>
      <c r="AZ96" t="s">
        <v>56</v>
      </c>
      <c r="BA96" t="s">
        <v>36</v>
      </c>
      <c r="BB96">
        <v>276573.58</v>
      </c>
      <c r="BC96">
        <v>276573.58</v>
      </c>
      <c r="BD96">
        <v>276573.58</v>
      </c>
      <c r="BE96">
        <v>276573.58</v>
      </c>
      <c r="BF96">
        <v>266653.34000000003</v>
      </c>
      <c r="BG96">
        <v>60024.14</v>
      </c>
      <c r="BH96">
        <v>30291.16</v>
      </c>
      <c r="BI96">
        <v>72092.479999999996</v>
      </c>
      <c r="BJ96">
        <v>20727.349999999999</v>
      </c>
      <c r="BK96">
        <v>36986.160000000003</v>
      </c>
      <c r="BL96">
        <v>46139.59</v>
      </c>
      <c r="BM96">
        <v>10312.700000000001</v>
      </c>
      <c r="BP96" s="3">
        <v>45596</v>
      </c>
      <c r="BQ96">
        <v>0</v>
      </c>
      <c r="BR96" s="3">
        <v>45442</v>
      </c>
      <c r="BS96" t="s">
        <v>200</v>
      </c>
    </row>
    <row r="97" spans="1:71" x14ac:dyDescent="0.25">
      <c r="A97" t="s">
        <v>201</v>
      </c>
      <c r="B97" t="s">
        <v>95</v>
      </c>
      <c r="C97" s="2">
        <f>HYPERLINK("https://szao.dolgi.msk.ru/account/3470020026/", 3470020026)</f>
        <v>3470020026</v>
      </c>
      <c r="D97" t="s">
        <v>29</v>
      </c>
      <c r="E97">
        <v>346612.46</v>
      </c>
      <c r="AX97">
        <v>54.11</v>
      </c>
      <c r="AY97">
        <v>57.55</v>
      </c>
      <c r="AZ97" t="s">
        <v>69</v>
      </c>
      <c r="BA97" t="s">
        <v>36</v>
      </c>
      <c r="BB97">
        <v>346612.46</v>
      </c>
      <c r="BC97">
        <v>346612.46</v>
      </c>
      <c r="BD97">
        <v>346612.46</v>
      </c>
      <c r="BE97">
        <v>346612.46</v>
      </c>
      <c r="BF97">
        <v>340589.61</v>
      </c>
      <c r="BG97">
        <v>12813.37</v>
      </c>
      <c r="BH97">
        <v>47536.95</v>
      </c>
      <c r="BI97">
        <v>157292.76999999999</v>
      </c>
      <c r="BJ97">
        <v>37985.61</v>
      </c>
      <c r="BK97">
        <v>67323.789999999994</v>
      </c>
      <c r="BL97">
        <v>19080.48</v>
      </c>
      <c r="BM97">
        <v>4579.49</v>
      </c>
      <c r="BP97" s="3">
        <v>45543</v>
      </c>
      <c r="BQ97">
        <v>30003.37</v>
      </c>
      <c r="BR97" s="3">
        <v>45496</v>
      </c>
      <c r="BS97" t="s">
        <v>202</v>
      </c>
    </row>
    <row r="98" spans="1:71" x14ac:dyDescent="0.25">
      <c r="A98" t="s">
        <v>201</v>
      </c>
      <c r="B98" t="s">
        <v>203</v>
      </c>
      <c r="C98" s="2">
        <f>HYPERLINK("https://szao.dolgi.msk.ru/account/3470020472/", 3470020472)</f>
        <v>3470020472</v>
      </c>
      <c r="D98" t="s">
        <v>29</v>
      </c>
      <c r="E98">
        <v>160978.20000000001</v>
      </c>
      <c r="AX98">
        <v>38.08</v>
      </c>
      <c r="AY98">
        <v>33.99</v>
      </c>
      <c r="AZ98" t="s">
        <v>69</v>
      </c>
      <c r="BA98" t="s">
        <v>36</v>
      </c>
      <c r="BB98">
        <v>160978.20000000001</v>
      </c>
      <c r="BC98">
        <v>160978.20000000001</v>
      </c>
      <c r="BD98">
        <v>160978.20000000001</v>
      </c>
      <c r="BE98">
        <v>160978.20000000001</v>
      </c>
      <c r="BF98">
        <v>156242.62</v>
      </c>
      <c r="BG98">
        <v>52296.52</v>
      </c>
      <c r="BH98">
        <v>12163.31</v>
      </c>
      <c r="BI98">
        <v>30038.880000000001</v>
      </c>
      <c r="BJ98">
        <v>6729.69</v>
      </c>
      <c r="BK98">
        <v>8812.77</v>
      </c>
      <c r="BL98">
        <v>42009.599999999999</v>
      </c>
      <c r="BM98">
        <v>8927.43</v>
      </c>
      <c r="BP98" s="3">
        <v>45590</v>
      </c>
      <c r="BQ98">
        <v>4385.2700000000004</v>
      </c>
      <c r="BR98" s="3">
        <v>45573</v>
      </c>
      <c r="BS98" t="s">
        <v>204</v>
      </c>
    </row>
    <row r="99" spans="1:71" x14ac:dyDescent="0.25">
      <c r="A99" t="s">
        <v>205</v>
      </c>
      <c r="B99" t="s">
        <v>139</v>
      </c>
      <c r="C99" s="2">
        <f>HYPERLINK("https://szao.dolgi.msk.ru/account/3470600688/", 3470600688)</f>
        <v>3470600688</v>
      </c>
      <c r="D99" t="s">
        <v>29</v>
      </c>
      <c r="E99">
        <v>118035.57</v>
      </c>
      <c r="AX99">
        <v>10.38</v>
      </c>
      <c r="AY99">
        <v>9.7799999999999994</v>
      </c>
      <c r="AZ99" t="s">
        <v>69</v>
      </c>
      <c r="BA99" t="s">
        <v>63</v>
      </c>
      <c r="BB99">
        <v>118035.57</v>
      </c>
      <c r="BC99">
        <v>118035.57</v>
      </c>
      <c r="BD99">
        <v>118035.57</v>
      </c>
      <c r="BE99">
        <v>118035.57</v>
      </c>
      <c r="BF99">
        <v>105963.41</v>
      </c>
      <c r="BG99">
        <v>26508.32</v>
      </c>
      <c r="BH99">
        <v>5237.4399999999996</v>
      </c>
      <c r="BI99">
        <v>36931.67</v>
      </c>
      <c r="BJ99">
        <v>7471.8</v>
      </c>
      <c r="BK99">
        <v>9886.02</v>
      </c>
      <c r="BL99">
        <v>27102.79</v>
      </c>
      <c r="BM99">
        <v>4897.53</v>
      </c>
      <c r="BP99" s="3">
        <v>45595</v>
      </c>
      <c r="BQ99">
        <v>10000</v>
      </c>
      <c r="BR99" s="3">
        <v>45554</v>
      </c>
      <c r="BS99" t="s">
        <v>206</v>
      </c>
    </row>
    <row r="100" spans="1:71" x14ac:dyDescent="0.25">
      <c r="A100" t="s">
        <v>205</v>
      </c>
      <c r="B100" t="s">
        <v>88</v>
      </c>
      <c r="C100" s="2">
        <f>HYPERLINK("https://szao.dolgi.msk.ru/account/3470600987/", 3470600987)</f>
        <v>3470600987</v>
      </c>
      <c r="D100" t="s">
        <v>29</v>
      </c>
      <c r="E100">
        <v>135855.73000000001</v>
      </c>
      <c r="AX100">
        <v>22.1</v>
      </c>
      <c r="AY100">
        <v>24.52</v>
      </c>
      <c r="AZ100" t="s">
        <v>56</v>
      </c>
      <c r="BA100" t="s">
        <v>36</v>
      </c>
      <c r="BB100">
        <v>135855.73000000001</v>
      </c>
      <c r="BC100">
        <v>135855.73000000001</v>
      </c>
      <c r="BD100">
        <v>135855.73000000001</v>
      </c>
      <c r="BE100">
        <v>135855.73000000001</v>
      </c>
      <c r="BF100">
        <v>130460.21</v>
      </c>
      <c r="BG100">
        <v>39556.82</v>
      </c>
      <c r="BH100">
        <v>8153.02</v>
      </c>
      <c r="BI100">
        <v>21007.57</v>
      </c>
      <c r="BJ100">
        <v>5568.24</v>
      </c>
      <c r="BK100">
        <v>10766.37</v>
      </c>
      <c r="BL100">
        <v>42442.28</v>
      </c>
      <c r="BM100">
        <v>8361.43</v>
      </c>
    </row>
    <row r="101" spans="1:71" x14ac:dyDescent="0.25">
      <c r="A101" t="s">
        <v>205</v>
      </c>
      <c r="B101" t="s">
        <v>207</v>
      </c>
      <c r="C101" s="2">
        <f>HYPERLINK("https://szao.dolgi.msk.ru/account/3470599883/", 3470599883)</f>
        <v>3470599883</v>
      </c>
      <c r="D101" t="s">
        <v>29</v>
      </c>
      <c r="E101">
        <v>20511.14</v>
      </c>
      <c r="AX101">
        <v>3.64</v>
      </c>
      <c r="AY101">
        <v>3.65</v>
      </c>
      <c r="AZ101" t="s">
        <v>40</v>
      </c>
      <c r="BA101" t="s">
        <v>49</v>
      </c>
      <c r="BB101">
        <v>20511.14</v>
      </c>
      <c r="BC101">
        <v>20511.14</v>
      </c>
      <c r="BD101">
        <v>20511.14</v>
      </c>
      <c r="BE101">
        <v>20511.14</v>
      </c>
      <c r="BF101">
        <v>14894.78</v>
      </c>
      <c r="BG101">
        <v>5568.58</v>
      </c>
      <c r="BH101">
        <v>1441.13</v>
      </c>
      <c r="BI101">
        <v>3784.31</v>
      </c>
      <c r="BJ101">
        <v>1065.75</v>
      </c>
      <c r="BK101">
        <v>1924.61</v>
      </c>
      <c r="BL101">
        <v>5646.96</v>
      </c>
      <c r="BM101">
        <v>1079.8</v>
      </c>
      <c r="BN101">
        <v>5215.9799999999996</v>
      </c>
      <c r="BP101" s="3">
        <v>45672</v>
      </c>
      <c r="BQ101">
        <v>5215.9799999999996</v>
      </c>
      <c r="BR101" s="3">
        <v>45554</v>
      </c>
      <c r="BS101" t="s">
        <v>208</v>
      </c>
    </row>
    <row r="102" spans="1:71" x14ac:dyDescent="0.25">
      <c r="A102" t="s">
        <v>205</v>
      </c>
      <c r="B102" t="s">
        <v>190</v>
      </c>
      <c r="C102" s="2">
        <f>HYPERLINK("https://szao.dolgi.msk.ru/account/3470600258/", 3470600258)</f>
        <v>3470600258</v>
      </c>
      <c r="D102" t="s">
        <v>29</v>
      </c>
      <c r="E102">
        <v>68895.789999999994</v>
      </c>
      <c r="AX102">
        <v>9.73</v>
      </c>
      <c r="AY102">
        <v>9.74</v>
      </c>
      <c r="AZ102" t="s">
        <v>69</v>
      </c>
      <c r="BA102" t="s">
        <v>63</v>
      </c>
      <c r="BB102">
        <v>68895.789999999994</v>
      </c>
      <c r="BC102">
        <v>68895.789999999994</v>
      </c>
      <c r="BD102">
        <v>68895.789999999994</v>
      </c>
      <c r="BE102">
        <v>68895.789999999994</v>
      </c>
      <c r="BF102">
        <v>61822.400000000001</v>
      </c>
      <c r="BG102">
        <v>14742.11</v>
      </c>
      <c r="BH102">
        <v>11740.43</v>
      </c>
      <c r="BI102">
        <v>10171</v>
      </c>
      <c r="BJ102">
        <v>2778.75</v>
      </c>
      <c r="BK102">
        <v>11264.27</v>
      </c>
      <c r="BL102">
        <v>15176.8</v>
      </c>
      <c r="BM102">
        <v>3022.43</v>
      </c>
      <c r="BP102" s="3">
        <v>45526</v>
      </c>
      <c r="BQ102">
        <v>6674.1</v>
      </c>
      <c r="BR102" s="3">
        <v>45475</v>
      </c>
      <c r="BS102" t="s">
        <v>209</v>
      </c>
    </row>
    <row r="103" spans="1:71" x14ac:dyDescent="0.25">
      <c r="A103" t="s">
        <v>205</v>
      </c>
      <c r="B103" t="s">
        <v>210</v>
      </c>
      <c r="C103" s="2">
        <f>HYPERLINK("https://szao.dolgi.msk.ru/account/3470601218/", 3470601218)</f>
        <v>3470601218</v>
      </c>
      <c r="D103" t="s">
        <v>29</v>
      </c>
      <c r="E103">
        <v>12925.35</v>
      </c>
      <c r="AX103">
        <v>2.75</v>
      </c>
      <c r="AY103">
        <v>2.81</v>
      </c>
      <c r="AZ103" t="s">
        <v>30</v>
      </c>
      <c r="BA103" t="s">
        <v>31</v>
      </c>
      <c r="BB103">
        <v>12925.35</v>
      </c>
      <c r="BC103">
        <v>12925.35</v>
      </c>
      <c r="BD103">
        <v>12925.35</v>
      </c>
      <c r="BE103">
        <v>12925.35</v>
      </c>
      <c r="BF103">
        <v>8328.36</v>
      </c>
      <c r="BG103">
        <v>4276.53</v>
      </c>
      <c r="BH103">
        <v>837.44</v>
      </c>
      <c r="BI103">
        <v>1410.31</v>
      </c>
      <c r="BJ103">
        <v>406.3</v>
      </c>
      <c r="BK103">
        <v>949.7</v>
      </c>
      <c r="BL103">
        <v>4235.22</v>
      </c>
      <c r="BM103">
        <v>809.85</v>
      </c>
      <c r="BP103" s="3">
        <v>45602</v>
      </c>
      <c r="BQ103">
        <v>4203.54</v>
      </c>
    </row>
    <row r="104" spans="1:71" x14ac:dyDescent="0.25">
      <c r="A104" t="s">
        <v>211</v>
      </c>
      <c r="B104" t="s">
        <v>80</v>
      </c>
      <c r="C104" s="2">
        <f>HYPERLINK("https://szao.dolgi.msk.ru/account/3470025775/", 3470025775)</f>
        <v>3470025775</v>
      </c>
      <c r="D104" t="s">
        <v>29</v>
      </c>
      <c r="E104">
        <v>36098.639999999999</v>
      </c>
      <c r="AX104">
        <v>7.3</v>
      </c>
      <c r="AY104">
        <v>7.86</v>
      </c>
      <c r="AZ104" t="s">
        <v>40</v>
      </c>
      <c r="BA104" t="s">
        <v>66</v>
      </c>
      <c r="BB104">
        <v>36098.639999999999</v>
      </c>
      <c r="BC104">
        <v>36098.639999999999</v>
      </c>
      <c r="BD104">
        <v>36098.639999999999</v>
      </c>
      <c r="BE104">
        <v>36098.639999999999</v>
      </c>
      <c r="BF104">
        <v>31167.08</v>
      </c>
      <c r="BG104">
        <v>7905.6</v>
      </c>
      <c r="BH104">
        <v>1213.8800000000001</v>
      </c>
      <c r="BI104">
        <v>11467.19</v>
      </c>
      <c r="BJ104">
        <v>3090.49</v>
      </c>
      <c r="BK104">
        <v>3346.79</v>
      </c>
      <c r="BL104">
        <v>7466.71</v>
      </c>
      <c r="BM104">
        <v>1607.98</v>
      </c>
      <c r="BP104" s="3">
        <v>45667</v>
      </c>
      <c r="BQ104">
        <v>8062.29</v>
      </c>
      <c r="BR104" s="3">
        <v>45538</v>
      </c>
      <c r="BS104" t="s">
        <v>212</v>
      </c>
    </row>
    <row r="105" spans="1:71" x14ac:dyDescent="0.25">
      <c r="A105" t="s">
        <v>211</v>
      </c>
      <c r="B105" t="s">
        <v>108</v>
      </c>
      <c r="C105" s="2">
        <f>HYPERLINK("https://szao.dolgi.msk.ru/account/3470026137/", 3470026137)</f>
        <v>3470026137</v>
      </c>
      <c r="D105" t="s">
        <v>29</v>
      </c>
      <c r="E105">
        <v>284080.21999999997</v>
      </c>
      <c r="AX105">
        <v>22.43</v>
      </c>
      <c r="AY105">
        <v>20.350000000000001</v>
      </c>
      <c r="AZ105" t="s">
        <v>30</v>
      </c>
      <c r="BA105" t="s">
        <v>36</v>
      </c>
      <c r="BB105">
        <v>284080.21999999997</v>
      </c>
      <c r="BC105">
        <v>284080.21999999997</v>
      </c>
      <c r="BD105">
        <v>284080.21999999997</v>
      </c>
      <c r="BE105">
        <v>284080.21999999997</v>
      </c>
      <c r="BF105">
        <v>269267.64</v>
      </c>
      <c r="BG105">
        <v>74833.850000000006</v>
      </c>
      <c r="BH105">
        <v>22163.41</v>
      </c>
      <c r="BI105">
        <v>56686.92</v>
      </c>
      <c r="BJ105">
        <v>15287.61</v>
      </c>
      <c r="BK105">
        <v>29000.44</v>
      </c>
      <c r="BL105">
        <v>71463.37</v>
      </c>
      <c r="BM105">
        <v>14644.62</v>
      </c>
      <c r="BN105">
        <v>37600.519999999997</v>
      </c>
      <c r="BP105" s="3">
        <v>45682</v>
      </c>
      <c r="BQ105">
        <v>37600.519999999997</v>
      </c>
      <c r="BR105" s="3">
        <v>45313</v>
      </c>
      <c r="BS105" t="s">
        <v>213</v>
      </c>
    </row>
    <row r="106" spans="1:71" x14ac:dyDescent="0.25">
      <c r="A106" t="s">
        <v>211</v>
      </c>
      <c r="B106" t="s">
        <v>210</v>
      </c>
      <c r="C106" s="2">
        <f>HYPERLINK("https://szao.dolgi.msk.ru/account/3470026508/", 3470026508)</f>
        <v>3470026508</v>
      </c>
      <c r="D106" t="s">
        <v>29</v>
      </c>
      <c r="E106">
        <v>300381.34999999998</v>
      </c>
      <c r="AX106">
        <v>23.76</v>
      </c>
      <c r="AY106">
        <v>23.97</v>
      </c>
      <c r="AZ106" t="s">
        <v>30</v>
      </c>
      <c r="BA106" t="s">
        <v>36</v>
      </c>
      <c r="BB106">
        <v>300381.34999999998</v>
      </c>
      <c r="BC106">
        <v>300381.34999999998</v>
      </c>
      <c r="BD106">
        <v>300381.34999999998</v>
      </c>
      <c r="BE106">
        <v>300381.34999999998</v>
      </c>
      <c r="BF106">
        <v>284957.28999999998</v>
      </c>
      <c r="BG106">
        <v>36899.86</v>
      </c>
      <c r="BH106">
        <v>53372.51</v>
      </c>
      <c r="BI106">
        <v>97128.21</v>
      </c>
      <c r="BJ106">
        <v>25542.45</v>
      </c>
      <c r="BK106">
        <v>28632.45</v>
      </c>
      <c r="BL106">
        <v>49606.75</v>
      </c>
      <c r="BM106">
        <v>9199.1200000000008</v>
      </c>
      <c r="BN106">
        <v>15769.05</v>
      </c>
      <c r="BP106" s="3">
        <v>45674</v>
      </c>
      <c r="BQ106">
        <v>8822.2000000000007</v>
      </c>
      <c r="BR106" s="3">
        <v>45460</v>
      </c>
      <c r="BS106" t="s">
        <v>214</v>
      </c>
    </row>
    <row r="107" spans="1:71" x14ac:dyDescent="0.25">
      <c r="A107" t="s">
        <v>211</v>
      </c>
      <c r="B107" t="s">
        <v>215</v>
      </c>
      <c r="C107" s="2">
        <f>HYPERLINK("https://szao.dolgi.msk.ru/account/3470024406/", 3470024406)</f>
        <v>3470024406</v>
      </c>
      <c r="D107" t="s">
        <v>29</v>
      </c>
      <c r="E107">
        <v>20749.64</v>
      </c>
      <c r="AX107">
        <v>4.82</v>
      </c>
      <c r="AY107">
        <v>3.54</v>
      </c>
      <c r="AZ107" t="s">
        <v>40</v>
      </c>
      <c r="BA107" t="s">
        <v>49</v>
      </c>
      <c r="BB107">
        <v>20749.64</v>
      </c>
      <c r="BC107">
        <v>20749.64</v>
      </c>
      <c r="BD107">
        <v>20749.64</v>
      </c>
      <c r="BE107">
        <v>20749.64</v>
      </c>
      <c r="BF107">
        <v>14896.12</v>
      </c>
      <c r="BG107">
        <v>7868.64</v>
      </c>
      <c r="BH107">
        <v>1253.51</v>
      </c>
      <c r="BI107">
        <v>1459.84</v>
      </c>
      <c r="BJ107">
        <v>408.03</v>
      </c>
      <c r="BK107">
        <v>964.11</v>
      </c>
      <c r="BL107">
        <v>7271.77</v>
      </c>
      <c r="BM107">
        <v>1523.74</v>
      </c>
      <c r="BP107" s="3">
        <v>45638</v>
      </c>
      <c r="BQ107">
        <v>5287.76</v>
      </c>
      <c r="BR107" s="3">
        <v>45008</v>
      </c>
      <c r="BS107" t="s">
        <v>216</v>
      </c>
    </row>
    <row r="108" spans="1:71" x14ac:dyDescent="0.25">
      <c r="A108" t="s">
        <v>211</v>
      </c>
      <c r="B108" t="s">
        <v>217</v>
      </c>
      <c r="C108" s="2">
        <f>HYPERLINK("https://szao.dolgi.msk.ru/account/3470025169/", 3470025169)</f>
        <v>3470025169</v>
      </c>
      <c r="D108" t="s">
        <v>29</v>
      </c>
      <c r="E108">
        <v>93097.37</v>
      </c>
      <c r="AX108">
        <v>10.94</v>
      </c>
      <c r="AY108">
        <v>9.2799999999999994</v>
      </c>
      <c r="AZ108" t="s">
        <v>69</v>
      </c>
      <c r="BA108" t="s">
        <v>63</v>
      </c>
      <c r="BB108">
        <v>93097.37</v>
      </c>
      <c r="BC108">
        <v>93097.37</v>
      </c>
      <c r="BD108">
        <v>93097.37</v>
      </c>
      <c r="BE108">
        <v>93097.37</v>
      </c>
      <c r="BF108">
        <v>83061.37</v>
      </c>
      <c r="BG108">
        <v>31995.5</v>
      </c>
      <c r="BH108">
        <v>4007.42</v>
      </c>
      <c r="BI108">
        <v>9736.18</v>
      </c>
      <c r="BJ108">
        <v>2741.91</v>
      </c>
      <c r="BK108">
        <v>5181.66</v>
      </c>
      <c r="BL108">
        <v>32147.439999999999</v>
      </c>
      <c r="BM108">
        <v>7287.26</v>
      </c>
      <c r="BP108" s="3">
        <v>45583</v>
      </c>
      <c r="BQ108">
        <v>13389.97</v>
      </c>
      <c r="BR108" s="3">
        <v>45226</v>
      </c>
      <c r="BS108" t="s">
        <v>115</v>
      </c>
    </row>
    <row r="109" spans="1:71" x14ac:dyDescent="0.25">
      <c r="A109" t="s">
        <v>211</v>
      </c>
      <c r="B109" t="s">
        <v>218</v>
      </c>
      <c r="C109" s="2">
        <f>HYPERLINK("https://szao.dolgi.msk.ru/account/3470025193/", 3470025193)</f>
        <v>3470025193</v>
      </c>
      <c r="D109" t="s">
        <v>29</v>
      </c>
      <c r="E109">
        <v>40345.480000000003</v>
      </c>
      <c r="AX109">
        <v>2.8</v>
      </c>
      <c r="AY109">
        <v>2.81</v>
      </c>
      <c r="AZ109" t="s">
        <v>40</v>
      </c>
      <c r="BA109" t="s">
        <v>31</v>
      </c>
      <c r="BB109">
        <v>40345.480000000003</v>
      </c>
      <c r="BC109">
        <v>40345.480000000003</v>
      </c>
      <c r="BD109">
        <v>40345.480000000003</v>
      </c>
      <c r="BE109">
        <v>40345.480000000003</v>
      </c>
      <c r="BF109">
        <v>26005.93</v>
      </c>
      <c r="BG109">
        <v>9471.1200000000008</v>
      </c>
      <c r="BH109">
        <v>1773.93</v>
      </c>
      <c r="BI109">
        <v>13172.56</v>
      </c>
      <c r="BJ109">
        <v>3641.25</v>
      </c>
      <c r="BK109">
        <v>4185</v>
      </c>
      <c r="BL109">
        <v>6756.45</v>
      </c>
      <c r="BM109">
        <v>1345.17</v>
      </c>
      <c r="BP109" s="3">
        <v>45650</v>
      </c>
      <c r="BQ109">
        <v>13452.83</v>
      </c>
    </row>
    <row r="110" spans="1:71" x14ac:dyDescent="0.25">
      <c r="A110" t="s">
        <v>219</v>
      </c>
      <c r="B110" t="s">
        <v>220</v>
      </c>
      <c r="C110" s="2">
        <f>HYPERLINK("https://szao.dolgi.msk.ru/account/3470029995/", 3470029995)</f>
        <v>3470029995</v>
      </c>
      <c r="D110" t="s">
        <v>29</v>
      </c>
      <c r="E110">
        <v>23549.42</v>
      </c>
      <c r="AX110">
        <v>2.13</v>
      </c>
      <c r="AY110">
        <v>2.2000000000000002</v>
      </c>
      <c r="AZ110" t="s">
        <v>40</v>
      </c>
      <c r="BA110" t="s">
        <v>31</v>
      </c>
      <c r="BB110">
        <v>23549.42</v>
      </c>
      <c r="BC110">
        <v>23549.42</v>
      </c>
      <c r="BD110">
        <v>23549.42</v>
      </c>
      <c r="BE110">
        <v>23549.42</v>
      </c>
      <c r="BF110">
        <v>33736.339999999997</v>
      </c>
      <c r="BG110">
        <v>4684.99</v>
      </c>
      <c r="BH110">
        <v>2445.86</v>
      </c>
      <c r="BI110">
        <v>6312.69</v>
      </c>
      <c r="BJ110">
        <v>1673.5</v>
      </c>
      <c r="BK110">
        <v>3232.19</v>
      </c>
      <c r="BL110">
        <v>4090.64</v>
      </c>
      <c r="BM110">
        <v>1109.55</v>
      </c>
      <c r="BN110">
        <v>10186.92</v>
      </c>
      <c r="BO110">
        <v>21196.34</v>
      </c>
      <c r="BP110" s="3">
        <v>45691</v>
      </c>
      <c r="BQ110">
        <v>20889.560000000001</v>
      </c>
    </row>
    <row r="111" spans="1:71" x14ac:dyDescent="0.25">
      <c r="A111" t="s">
        <v>221</v>
      </c>
      <c r="B111" t="s">
        <v>173</v>
      </c>
      <c r="C111" s="2">
        <f>HYPERLINK("https://szao.dolgi.msk.ru/account/3470030216/", 3470030216)</f>
        <v>3470030216</v>
      </c>
      <c r="D111" t="s">
        <v>29</v>
      </c>
      <c r="E111">
        <v>89941.55</v>
      </c>
      <c r="AX111">
        <v>23.24</v>
      </c>
      <c r="AY111">
        <v>23.43</v>
      </c>
      <c r="AZ111" t="s">
        <v>56</v>
      </c>
      <c r="BA111" t="s">
        <v>36</v>
      </c>
      <c r="BB111">
        <v>89941.55</v>
      </c>
      <c r="BC111">
        <v>89941.55</v>
      </c>
      <c r="BD111">
        <v>89941.55</v>
      </c>
      <c r="BE111">
        <v>89941.55</v>
      </c>
      <c r="BF111">
        <v>87722.62</v>
      </c>
      <c r="BG111">
        <v>32862.17</v>
      </c>
      <c r="BH111">
        <v>10653.32</v>
      </c>
      <c r="BI111">
        <v>2642.48</v>
      </c>
      <c r="BJ111">
        <v>576.29</v>
      </c>
      <c r="BK111">
        <v>8861.2800000000007</v>
      </c>
      <c r="BL111">
        <v>27100.17</v>
      </c>
      <c r="BM111">
        <v>7245.84</v>
      </c>
      <c r="BN111">
        <v>2620.48</v>
      </c>
      <c r="BO111">
        <v>660.93</v>
      </c>
      <c r="BP111" s="3">
        <v>45695</v>
      </c>
      <c r="BQ111">
        <v>1620.48</v>
      </c>
      <c r="BR111" s="3">
        <v>45540</v>
      </c>
      <c r="BS111" t="s">
        <v>222</v>
      </c>
    </row>
    <row r="112" spans="1:71" x14ac:dyDescent="0.25">
      <c r="A112" t="s">
        <v>221</v>
      </c>
      <c r="B112" t="s">
        <v>223</v>
      </c>
      <c r="C112" s="2">
        <f>HYPERLINK("https://szao.dolgi.msk.ru/account/3470030371/", 3470030371)</f>
        <v>3470030371</v>
      </c>
      <c r="D112" t="s">
        <v>29</v>
      </c>
      <c r="E112">
        <v>23481.14</v>
      </c>
      <c r="AX112">
        <v>2.31</v>
      </c>
      <c r="AY112">
        <v>2.37</v>
      </c>
      <c r="AZ112" t="s">
        <v>69</v>
      </c>
      <c r="BA112" t="s">
        <v>31</v>
      </c>
      <c r="BB112">
        <v>23481.14</v>
      </c>
      <c r="BC112">
        <v>23481.14</v>
      </c>
      <c r="BD112">
        <v>23481.14</v>
      </c>
      <c r="BE112">
        <v>23481.14</v>
      </c>
      <c r="BF112">
        <v>13568.51</v>
      </c>
      <c r="BG112">
        <v>3656.95</v>
      </c>
      <c r="BH112">
        <v>3032.65</v>
      </c>
      <c r="BI112">
        <v>7367.94</v>
      </c>
      <c r="BJ112">
        <v>2074.96</v>
      </c>
      <c r="BK112">
        <v>3921.26</v>
      </c>
      <c r="BL112">
        <v>2735.39</v>
      </c>
      <c r="BM112">
        <v>691.99</v>
      </c>
      <c r="BN112">
        <v>3622.21</v>
      </c>
      <c r="BO112">
        <v>1792.44</v>
      </c>
      <c r="BP112" s="3">
        <v>45688</v>
      </c>
      <c r="BQ112">
        <v>3603.54</v>
      </c>
      <c r="BR112" s="3">
        <v>45624</v>
      </c>
      <c r="BS112" t="s">
        <v>224</v>
      </c>
    </row>
    <row r="113" spans="1:71" x14ac:dyDescent="0.25">
      <c r="A113" t="s">
        <v>221</v>
      </c>
      <c r="B113" t="s">
        <v>225</v>
      </c>
      <c r="C113" s="2">
        <f>HYPERLINK("https://szao.dolgi.msk.ru/account/3470030507/", 3470030507)</f>
        <v>3470030507</v>
      </c>
      <c r="D113" t="s">
        <v>29</v>
      </c>
      <c r="E113">
        <v>181503.8</v>
      </c>
      <c r="AX113">
        <v>25.18</v>
      </c>
      <c r="AY113">
        <v>18.920000000000002</v>
      </c>
      <c r="AZ113" t="s">
        <v>56</v>
      </c>
      <c r="BA113" t="s">
        <v>36</v>
      </c>
      <c r="BB113">
        <v>181503.8</v>
      </c>
      <c r="BC113">
        <v>181503.8</v>
      </c>
      <c r="BD113">
        <v>181503.8</v>
      </c>
      <c r="BE113">
        <v>181503.8</v>
      </c>
      <c r="BF113">
        <v>171912.23</v>
      </c>
      <c r="BG113">
        <v>14301.51</v>
      </c>
      <c r="BH113">
        <v>30879.51</v>
      </c>
      <c r="BI113">
        <v>56175.05</v>
      </c>
      <c r="BJ113">
        <v>21830.95</v>
      </c>
      <c r="BK113">
        <v>37084.15</v>
      </c>
      <c r="BL113">
        <v>11837.74</v>
      </c>
      <c r="BM113">
        <v>9394.89</v>
      </c>
      <c r="BP113" s="3">
        <v>45596</v>
      </c>
      <c r="BQ113">
        <v>0</v>
      </c>
      <c r="BR113" s="3">
        <v>45182</v>
      </c>
      <c r="BS113" t="s">
        <v>226</v>
      </c>
    </row>
    <row r="114" spans="1:71" x14ac:dyDescent="0.25">
      <c r="A114" t="s">
        <v>221</v>
      </c>
      <c r="B114" t="s">
        <v>227</v>
      </c>
      <c r="C114" s="2">
        <f>HYPERLINK("https://szao.dolgi.msk.ru/account/3470030558/", 3470030558)</f>
        <v>3470030558</v>
      </c>
      <c r="D114" t="s">
        <v>29</v>
      </c>
      <c r="E114">
        <v>14054.17</v>
      </c>
      <c r="AX114">
        <v>2.86</v>
      </c>
      <c r="AY114">
        <v>2.44</v>
      </c>
      <c r="AZ114" t="s">
        <v>35</v>
      </c>
      <c r="BA114" t="s">
        <v>31</v>
      </c>
      <c r="BB114">
        <v>14054.17</v>
      </c>
      <c r="BC114">
        <v>14054.17</v>
      </c>
      <c r="BD114">
        <v>14054.17</v>
      </c>
      <c r="BE114">
        <v>14054.17</v>
      </c>
      <c r="BF114">
        <v>8289.39</v>
      </c>
      <c r="BG114">
        <v>6828.2</v>
      </c>
      <c r="BH114">
        <v>526.51</v>
      </c>
      <c r="BI114">
        <v>704.34</v>
      </c>
      <c r="BJ114">
        <v>198.36</v>
      </c>
      <c r="BK114">
        <v>558.23</v>
      </c>
      <c r="BL114">
        <v>4347.78</v>
      </c>
      <c r="BM114">
        <v>890.75</v>
      </c>
      <c r="BN114">
        <v>5282.79</v>
      </c>
      <c r="BP114" s="3">
        <v>45672</v>
      </c>
      <c r="BQ114">
        <v>5282.79</v>
      </c>
      <c r="BR114" s="3">
        <v>45488</v>
      </c>
      <c r="BS114" t="s">
        <v>228</v>
      </c>
    </row>
    <row r="115" spans="1:71" x14ac:dyDescent="0.25">
      <c r="A115" t="s">
        <v>221</v>
      </c>
      <c r="B115" t="s">
        <v>197</v>
      </c>
      <c r="C115" s="2">
        <f>HYPERLINK("https://szao.dolgi.msk.ru/account/3470030726/", 3470030726)</f>
        <v>3470030726</v>
      </c>
      <c r="D115" t="s">
        <v>29</v>
      </c>
      <c r="E115">
        <v>78525.67</v>
      </c>
      <c r="AX115">
        <v>4.83</v>
      </c>
      <c r="AY115">
        <v>4.8099999999999996</v>
      </c>
      <c r="AZ115" t="s">
        <v>35</v>
      </c>
      <c r="BA115" t="s">
        <v>49</v>
      </c>
      <c r="BB115">
        <v>78525.67</v>
      </c>
      <c r="BC115">
        <v>78525.67</v>
      </c>
      <c r="BD115">
        <v>78525.67</v>
      </c>
      <c r="BE115">
        <v>78525.67</v>
      </c>
      <c r="BF115">
        <v>78525.67</v>
      </c>
      <c r="BG115">
        <v>6748.28</v>
      </c>
      <c r="BH115">
        <v>10660.48</v>
      </c>
      <c r="BI115">
        <v>32147.59</v>
      </c>
      <c r="BJ115">
        <v>8561.43</v>
      </c>
      <c r="BK115">
        <v>15023</v>
      </c>
      <c r="BL115">
        <v>3862.35</v>
      </c>
      <c r="BM115">
        <v>1522.54</v>
      </c>
      <c r="BO115">
        <v>16326.55</v>
      </c>
      <c r="BP115" s="3">
        <v>45698</v>
      </c>
      <c r="BQ115">
        <v>16326.55</v>
      </c>
      <c r="BR115" s="3">
        <v>45513</v>
      </c>
      <c r="BS115" t="s">
        <v>229</v>
      </c>
    </row>
    <row r="116" spans="1:71" x14ac:dyDescent="0.25">
      <c r="A116" t="s">
        <v>230</v>
      </c>
      <c r="B116" t="s">
        <v>48</v>
      </c>
      <c r="C116" s="2">
        <f>HYPERLINK("https://szao.dolgi.msk.ru/account/3470031462/", 3470031462)</f>
        <v>3470031462</v>
      </c>
      <c r="D116" t="s">
        <v>29</v>
      </c>
      <c r="E116">
        <v>65525.87</v>
      </c>
      <c r="AX116">
        <v>11.83</v>
      </c>
      <c r="AY116">
        <v>11.71</v>
      </c>
      <c r="AZ116" t="s">
        <v>69</v>
      </c>
      <c r="BA116" t="s">
        <v>63</v>
      </c>
      <c r="BB116">
        <v>65525.87</v>
      </c>
      <c r="BC116">
        <v>65525.87</v>
      </c>
      <c r="BD116">
        <v>65525.87</v>
      </c>
      <c r="BE116">
        <v>65525.87</v>
      </c>
      <c r="BF116">
        <v>59931.78</v>
      </c>
      <c r="BG116">
        <v>19913.28</v>
      </c>
      <c r="BH116">
        <v>4070.87</v>
      </c>
      <c r="BI116">
        <v>11311.18</v>
      </c>
      <c r="BJ116">
        <v>3038.22</v>
      </c>
      <c r="BK116">
        <v>5546.02</v>
      </c>
      <c r="BL116">
        <v>17263</v>
      </c>
      <c r="BM116">
        <v>4383.3</v>
      </c>
      <c r="BP116" s="3">
        <v>45581</v>
      </c>
      <c r="BQ116">
        <v>1134.71</v>
      </c>
      <c r="BR116" s="3">
        <v>45569</v>
      </c>
      <c r="BS116" t="s">
        <v>231</v>
      </c>
    </row>
    <row r="117" spans="1:71" x14ac:dyDescent="0.25">
      <c r="A117" t="s">
        <v>230</v>
      </c>
      <c r="B117" t="s">
        <v>80</v>
      </c>
      <c r="C117" s="2">
        <f>HYPERLINK("https://szao.dolgi.msk.ru/account/3470031606/", 3470031606)</f>
        <v>3470031606</v>
      </c>
      <c r="D117" t="s">
        <v>29</v>
      </c>
      <c r="E117">
        <v>22264.03</v>
      </c>
      <c r="AX117">
        <v>3.83</v>
      </c>
      <c r="AY117">
        <v>3.73</v>
      </c>
      <c r="AZ117" t="s">
        <v>40</v>
      </c>
      <c r="BA117" t="s">
        <v>49</v>
      </c>
      <c r="BB117">
        <v>22264.03</v>
      </c>
      <c r="BC117">
        <v>22264.03</v>
      </c>
      <c r="BD117">
        <v>22264.03</v>
      </c>
      <c r="BE117">
        <v>22264.03</v>
      </c>
      <c r="BF117">
        <v>16289.72</v>
      </c>
      <c r="BG117">
        <v>6710.68</v>
      </c>
      <c r="BH117">
        <v>2378.52</v>
      </c>
      <c r="BI117">
        <v>2942.95</v>
      </c>
      <c r="BJ117">
        <v>818.26</v>
      </c>
      <c r="BK117">
        <v>2481.5100000000002</v>
      </c>
      <c r="BL117">
        <v>5529.14</v>
      </c>
      <c r="BM117">
        <v>1402.97</v>
      </c>
      <c r="BP117" s="3">
        <v>45666</v>
      </c>
      <c r="BQ117">
        <v>5487.98</v>
      </c>
      <c r="BR117" s="3">
        <v>45496</v>
      </c>
      <c r="BS117" t="s">
        <v>232</v>
      </c>
    </row>
    <row r="118" spans="1:71" x14ac:dyDescent="0.25">
      <c r="A118" t="s">
        <v>230</v>
      </c>
      <c r="B118" t="s">
        <v>52</v>
      </c>
      <c r="C118" s="2">
        <f>HYPERLINK("https://szao.dolgi.msk.ru/account/3470031745/", 3470031745)</f>
        <v>3470031745</v>
      </c>
      <c r="D118" t="s">
        <v>29</v>
      </c>
      <c r="E118">
        <v>264818.93</v>
      </c>
      <c r="AX118">
        <v>33.58</v>
      </c>
      <c r="AY118">
        <v>26.82</v>
      </c>
      <c r="AZ118" t="s">
        <v>56</v>
      </c>
      <c r="BA118" t="s">
        <v>36</v>
      </c>
      <c r="BB118">
        <v>264818.93</v>
      </c>
      <c r="BC118">
        <v>264818.93</v>
      </c>
      <c r="BD118">
        <v>264818.93</v>
      </c>
      <c r="BE118">
        <v>264818.93</v>
      </c>
      <c r="BF118">
        <v>254944.56</v>
      </c>
      <c r="BG118">
        <v>51690.06</v>
      </c>
      <c r="BH118">
        <v>27622.85</v>
      </c>
      <c r="BI118">
        <v>68182.789999999994</v>
      </c>
      <c r="BJ118">
        <v>22147.49</v>
      </c>
      <c r="BK118">
        <v>38234.43</v>
      </c>
      <c r="BL118">
        <v>46763.58</v>
      </c>
      <c r="BM118">
        <v>10177.73</v>
      </c>
      <c r="BP118" s="3">
        <v>45596</v>
      </c>
      <c r="BQ118">
        <v>0</v>
      </c>
      <c r="BR118" s="3">
        <v>45432</v>
      </c>
      <c r="BS118" t="s">
        <v>233</v>
      </c>
    </row>
    <row r="119" spans="1:71" x14ac:dyDescent="0.25">
      <c r="A119" t="s">
        <v>230</v>
      </c>
      <c r="B119" t="s">
        <v>223</v>
      </c>
      <c r="C119" s="2">
        <f>HYPERLINK("https://szao.dolgi.msk.ru/account/3470031411/", 3470031411)</f>
        <v>3470031411</v>
      </c>
      <c r="D119" t="s">
        <v>29</v>
      </c>
      <c r="E119">
        <v>36366.870000000003</v>
      </c>
      <c r="AX119">
        <v>4.83</v>
      </c>
      <c r="AY119">
        <v>4.87</v>
      </c>
      <c r="AZ119" t="s">
        <v>69</v>
      </c>
      <c r="BA119" t="s">
        <v>49</v>
      </c>
      <c r="BB119">
        <v>36366.870000000003</v>
      </c>
      <c r="BC119">
        <v>36366.870000000003</v>
      </c>
      <c r="BD119">
        <v>36366.870000000003</v>
      </c>
      <c r="BE119">
        <v>36366.870000000003</v>
      </c>
      <c r="BF119">
        <v>28899.4</v>
      </c>
      <c r="BG119">
        <v>4157.37</v>
      </c>
      <c r="BH119">
        <v>5183.8999999999996</v>
      </c>
      <c r="BI119">
        <v>12594.4</v>
      </c>
      <c r="BJ119">
        <v>3546.85</v>
      </c>
      <c r="BK119">
        <v>6702.9</v>
      </c>
      <c r="BL119">
        <v>3363.5</v>
      </c>
      <c r="BM119">
        <v>817.95</v>
      </c>
      <c r="BP119" s="3">
        <v>45545</v>
      </c>
      <c r="BQ119">
        <v>7224.85</v>
      </c>
    </row>
    <row r="120" spans="1:71" x14ac:dyDescent="0.25">
      <c r="A120" t="s">
        <v>230</v>
      </c>
      <c r="B120" t="s">
        <v>103</v>
      </c>
      <c r="C120" s="2">
        <f>HYPERLINK("https://szao.dolgi.msk.ru/account/3470031438/", 3470031438)</f>
        <v>3470031438</v>
      </c>
      <c r="D120" t="s">
        <v>29</v>
      </c>
      <c r="E120">
        <v>199830.98</v>
      </c>
      <c r="AX120">
        <v>22.01</v>
      </c>
      <c r="AY120">
        <v>20.14</v>
      </c>
      <c r="AZ120" t="s">
        <v>40</v>
      </c>
      <c r="BA120" t="s">
        <v>36</v>
      </c>
      <c r="BB120">
        <v>199830.98</v>
      </c>
      <c r="BC120">
        <v>199830.98</v>
      </c>
      <c r="BD120">
        <v>199830.98</v>
      </c>
      <c r="BE120">
        <v>199830.98</v>
      </c>
      <c r="BF120">
        <v>189906.52</v>
      </c>
      <c r="BG120">
        <v>31116.560000000001</v>
      </c>
      <c r="BH120">
        <v>24879.08</v>
      </c>
      <c r="BI120">
        <v>70407.399999999994</v>
      </c>
      <c r="BJ120">
        <v>17571.25</v>
      </c>
      <c r="BK120">
        <v>6881.75</v>
      </c>
      <c r="BL120">
        <v>40197.08</v>
      </c>
      <c r="BM120">
        <v>8777.86</v>
      </c>
      <c r="BN120">
        <v>0</v>
      </c>
      <c r="BP120" s="3">
        <v>45677</v>
      </c>
      <c r="BQ120">
        <v>0</v>
      </c>
      <c r="BR120" s="3">
        <v>45432</v>
      </c>
      <c r="BS120" t="s">
        <v>234</v>
      </c>
    </row>
    <row r="121" spans="1:71" x14ac:dyDescent="0.25">
      <c r="A121" t="s">
        <v>230</v>
      </c>
      <c r="B121" t="s">
        <v>207</v>
      </c>
      <c r="C121" s="2">
        <f>HYPERLINK("https://szao.dolgi.msk.ru/account/3470032027/", 3470032027)</f>
        <v>3470032027</v>
      </c>
      <c r="D121" t="s">
        <v>29</v>
      </c>
      <c r="E121">
        <v>12363.14</v>
      </c>
      <c r="AX121">
        <v>2.8</v>
      </c>
      <c r="AY121">
        <v>2.79</v>
      </c>
      <c r="AZ121" t="s">
        <v>69</v>
      </c>
      <c r="BA121" t="s">
        <v>31</v>
      </c>
      <c r="BB121">
        <v>12363.14</v>
      </c>
      <c r="BC121">
        <v>12363.14</v>
      </c>
      <c r="BD121">
        <v>12363.14</v>
      </c>
      <c r="BE121">
        <v>12363.14</v>
      </c>
      <c r="BF121">
        <v>7481.17</v>
      </c>
      <c r="BG121">
        <v>4067.35</v>
      </c>
      <c r="BH121">
        <v>985.29</v>
      </c>
      <c r="BI121">
        <v>1740.41</v>
      </c>
      <c r="BJ121">
        <v>495.5</v>
      </c>
      <c r="BK121">
        <v>1136.94</v>
      </c>
      <c r="BL121">
        <v>3167.4</v>
      </c>
      <c r="BM121">
        <v>770.25</v>
      </c>
      <c r="BP121" s="3">
        <v>45595</v>
      </c>
      <c r="BQ121">
        <v>3547.18</v>
      </c>
    </row>
    <row r="122" spans="1:71" x14ac:dyDescent="0.25">
      <c r="A122" t="s">
        <v>230</v>
      </c>
      <c r="B122" t="s">
        <v>235</v>
      </c>
      <c r="C122" s="2">
        <f>HYPERLINK("https://szao.dolgi.msk.ru/account/3470032166/", 3470032166)</f>
        <v>3470032166</v>
      </c>
      <c r="D122" t="s">
        <v>29</v>
      </c>
      <c r="E122">
        <v>196331.74</v>
      </c>
      <c r="AX122">
        <v>14.07</v>
      </c>
      <c r="AY122">
        <v>11.44</v>
      </c>
      <c r="AZ122" t="s">
        <v>40</v>
      </c>
      <c r="BA122" t="s">
        <v>36</v>
      </c>
      <c r="BB122">
        <v>196331.74</v>
      </c>
      <c r="BC122">
        <v>196331.74</v>
      </c>
      <c r="BD122">
        <v>196331.74</v>
      </c>
      <c r="BE122">
        <v>196331.74</v>
      </c>
      <c r="BF122">
        <v>179162.89</v>
      </c>
      <c r="BG122">
        <v>34925.46</v>
      </c>
      <c r="BH122">
        <v>30986.41</v>
      </c>
      <c r="BI122">
        <v>77031.3</v>
      </c>
      <c r="BJ122">
        <v>20314.810000000001</v>
      </c>
      <c r="BK122">
        <v>0</v>
      </c>
      <c r="BL122">
        <v>27245.86</v>
      </c>
      <c r="BM122">
        <v>5827.9</v>
      </c>
      <c r="BO122">
        <v>17168.849999999999</v>
      </c>
      <c r="BP122" s="3">
        <v>45680</v>
      </c>
      <c r="BQ122">
        <v>17168.849999999999</v>
      </c>
      <c r="BR122" s="3">
        <v>45432</v>
      </c>
      <c r="BS122" t="s">
        <v>236</v>
      </c>
    </row>
    <row r="123" spans="1:71" x14ac:dyDescent="0.25">
      <c r="A123" t="s">
        <v>237</v>
      </c>
      <c r="B123" t="s">
        <v>127</v>
      </c>
      <c r="C123" s="2">
        <f>HYPERLINK("https://szao.dolgi.msk.ru/account/3470033177/", 3470033177)</f>
        <v>3470033177</v>
      </c>
      <c r="D123" t="s">
        <v>29</v>
      </c>
      <c r="E123">
        <v>14794.82</v>
      </c>
      <c r="AX123">
        <v>3.11</v>
      </c>
      <c r="AY123">
        <v>3.21</v>
      </c>
      <c r="AZ123" t="s">
        <v>40</v>
      </c>
      <c r="BA123" t="s">
        <v>49</v>
      </c>
      <c r="BB123">
        <v>14794.82</v>
      </c>
      <c r="BC123">
        <v>14794.82</v>
      </c>
      <c r="BD123">
        <v>14794.82</v>
      </c>
      <c r="BE123">
        <v>14794.82</v>
      </c>
      <c r="BF123">
        <v>10190.64</v>
      </c>
      <c r="BG123">
        <v>4067.35</v>
      </c>
      <c r="BH123">
        <v>1194.3399999999999</v>
      </c>
      <c r="BI123">
        <v>3149.71</v>
      </c>
      <c r="BJ123">
        <v>887.03</v>
      </c>
      <c r="BK123">
        <v>1597.92</v>
      </c>
      <c r="BL123">
        <v>3128.22</v>
      </c>
      <c r="BM123">
        <v>770.25</v>
      </c>
      <c r="BN123">
        <v>4578.84</v>
      </c>
      <c r="BP123" s="3">
        <v>45678</v>
      </c>
      <c r="BQ123">
        <v>4578.84</v>
      </c>
    </row>
    <row r="124" spans="1:71" x14ac:dyDescent="0.25">
      <c r="A124" t="s">
        <v>237</v>
      </c>
      <c r="B124" t="s">
        <v>238</v>
      </c>
      <c r="C124" s="2">
        <f>HYPERLINK("https://szao.dolgi.msk.ru/account/3470032916/", 3470032916)</f>
        <v>3470032916</v>
      </c>
      <c r="D124" t="s">
        <v>29</v>
      </c>
      <c r="E124">
        <v>354437.56</v>
      </c>
      <c r="AX124">
        <v>37.46</v>
      </c>
      <c r="AY124">
        <v>34</v>
      </c>
      <c r="AZ124" t="s">
        <v>56</v>
      </c>
      <c r="BA124" t="s">
        <v>36</v>
      </c>
      <c r="BB124">
        <v>354437.56</v>
      </c>
      <c r="BC124">
        <v>354437.56</v>
      </c>
      <c r="BD124">
        <v>354437.56</v>
      </c>
      <c r="BE124">
        <v>354437.56</v>
      </c>
      <c r="BF124">
        <v>344012.06</v>
      </c>
      <c r="BG124">
        <v>67648</v>
      </c>
      <c r="BH124">
        <v>40286.300000000003</v>
      </c>
      <c r="BI124">
        <v>101661.59</v>
      </c>
      <c r="BJ124">
        <v>28291.040000000001</v>
      </c>
      <c r="BK124">
        <v>51188.72</v>
      </c>
      <c r="BL124">
        <v>53348.41</v>
      </c>
      <c r="BM124">
        <v>12013.5</v>
      </c>
      <c r="BP124" s="3">
        <v>45535</v>
      </c>
      <c r="BQ124">
        <v>0</v>
      </c>
      <c r="BR124" s="3">
        <v>45432</v>
      </c>
      <c r="BS124" t="s">
        <v>239</v>
      </c>
    </row>
    <row r="125" spans="1:71" x14ac:dyDescent="0.25">
      <c r="A125" t="s">
        <v>237</v>
      </c>
      <c r="B125" t="s">
        <v>129</v>
      </c>
      <c r="C125" s="2">
        <f>HYPERLINK("https://szao.dolgi.msk.ru/account/3470032959/", 3470032959)</f>
        <v>3470032959</v>
      </c>
      <c r="D125" t="s">
        <v>29</v>
      </c>
      <c r="E125">
        <v>159329.26</v>
      </c>
      <c r="AX125">
        <v>34.43</v>
      </c>
      <c r="AY125">
        <v>35.83</v>
      </c>
      <c r="AZ125" t="s">
        <v>40</v>
      </c>
      <c r="BA125" t="s">
        <v>36</v>
      </c>
      <c r="BB125">
        <v>159329.26</v>
      </c>
      <c r="BC125">
        <v>159329.26</v>
      </c>
      <c r="BD125">
        <v>159329.26</v>
      </c>
      <c r="BE125">
        <v>159329.26</v>
      </c>
      <c r="BF125">
        <v>163239.49</v>
      </c>
      <c r="BG125">
        <v>27958.46</v>
      </c>
      <c r="BH125">
        <v>22215.69</v>
      </c>
      <c r="BI125">
        <v>54182.71</v>
      </c>
      <c r="BJ125">
        <v>14697.65</v>
      </c>
      <c r="BK125">
        <v>19558.759999999998</v>
      </c>
      <c r="BL125">
        <v>16884.73</v>
      </c>
      <c r="BM125">
        <v>3831.26</v>
      </c>
      <c r="BN125">
        <v>3917.79</v>
      </c>
      <c r="BO125">
        <v>4447.2700000000004</v>
      </c>
      <c r="BP125" s="3">
        <v>45695</v>
      </c>
      <c r="BQ125">
        <v>8357.5</v>
      </c>
      <c r="BR125" s="3">
        <v>45432</v>
      </c>
      <c r="BS125" t="s">
        <v>240</v>
      </c>
    </row>
    <row r="126" spans="1:71" x14ac:dyDescent="0.25">
      <c r="A126" t="s">
        <v>237</v>
      </c>
      <c r="B126" t="s">
        <v>241</v>
      </c>
      <c r="C126" s="2">
        <f>HYPERLINK("https://szao.dolgi.msk.ru/account/3470032991/", 3470032991)</f>
        <v>3470032991</v>
      </c>
      <c r="D126" t="s">
        <v>29</v>
      </c>
      <c r="E126">
        <v>17025.72</v>
      </c>
      <c r="AX126">
        <v>3.16</v>
      </c>
      <c r="AY126">
        <v>3.3</v>
      </c>
      <c r="AZ126" t="s">
        <v>30</v>
      </c>
      <c r="BA126" t="s">
        <v>49</v>
      </c>
      <c r="BB126">
        <v>17025.72</v>
      </c>
      <c r="BC126">
        <v>17025.72</v>
      </c>
      <c r="BD126">
        <v>17025.72</v>
      </c>
      <c r="BE126">
        <v>17025.72</v>
      </c>
      <c r="BF126">
        <v>11870.11</v>
      </c>
      <c r="BG126">
        <v>5136.4799999999996</v>
      </c>
      <c r="BH126">
        <v>1607.07</v>
      </c>
      <c r="BI126">
        <v>2752.4</v>
      </c>
      <c r="BJ126">
        <v>779.52</v>
      </c>
      <c r="BK126">
        <v>1827.04</v>
      </c>
      <c r="BL126">
        <v>3950.49</v>
      </c>
      <c r="BM126">
        <v>972.72</v>
      </c>
      <c r="BP126" s="3">
        <v>45611</v>
      </c>
      <c r="BQ126">
        <v>14486</v>
      </c>
    </row>
    <row r="127" spans="1:71" x14ac:dyDescent="0.25">
      <c r="A127" t="s">
        <v>237</v>
      </c>
      <c r="B127" t="s">
        <v>207</v>
      </c>
      <c r="C127" s="2">
        <f>HYPERLINK("https://szao.dolgi.msk.ru/account/3470033046/", 3470033046)</f>
        <v>3470033046</v>
      </c>
      <c r="D127" t="s">
        <v>29</v>
      </c>
      <c r="E127">
        <v>32431.84</v>
      </c>
      <c r="AX127">
        <v>5.01</v>
      </c>
      <c r="AY127">
        <v>5.22</v>
      </c>
      <c r="AZ127" t="s">
        <v>40</v>
      </c>
      <c r="BA127" t="s">
        <v>49</v>
      </c>
      <c r="BB127">
        <v>32431.84</v>
      </c>
      <c r="BC127">
        <v>32431.84</v>
      </c>
      <c r="BD127">
        <v>32431.84</v>
      </c>
      <c r="BE127">
        <v>32431.84</v>
      </c>
      <c r="BF127">
        <v>26214.32</v>
      </c>
      <c r="BG127">
        <v>6348.97</v>
      </c>
      <c r="BH127">
        <v>4600.38</v>
      </c>
      <c r="BI127">
        <v>7644.24</v>
      </c>
      <c r="BJ127">
        <v>2152.8000000000002</v>
      </c>
      <c r="BK127">
        <v>5216.22</v>
      </c>
      <c r="BL127">
        <v>5199.66</v>
      </c>
      <c r="BM127">
        <v>1269.57</v>
      </c>
      <c r="BN127">
        <v>6257.21</v>
      </c>
      <c r="BP127" s="3">
        <v>45671</v>
      </c>
      <c r="BQ127">
        <v>6257.21</v>
      </c>
      <c r="BR127" s="3">
        <v>45628</v>
      </c>
      <c r="BS127" t="s">
        <v>242</v>
      </c>
    </row>
    <row r="128" spans="1:71" x14ac:dyDescent="0.25">
      <c r="A128" t="s">
        <v>237</v>
      </c>
      <c r="B128" t="s">
        <v>42</v>
      </c>
      <c r="C128" s="2">
        <f>HYPERLINK("https://szao.dolgi.msk.ru/account/3470033134/", 3470033134)</f>
        <v>3470033134</v>
      </c>
      <c r="D128" t="s">
        <v>29</v>
      </c>
      <c r="E128">
        <v>10803.78</v>
      </c>
      <c r="AX128">
        <v>2.06</v>
      </c>
      <c r="AY128">
        <v>2.08</v>
      </c>
      <c r="AZ128" t="s">
        <v>40</v>
      </c>
      <c r="BA128" t="s">
        <v>31</v>
      </c>
      <c r="BB128">
        <v>10803.78</v>
      </c>
      <c r="BC128">
        <v>10803.78</v>
      </c>
      <c r="BD128">
        <v>10803.78</v>
      </c>
      <c r="BE128">
        <v>10803.78</v>
      </c>
      <c r="BF128">
        <v>5619.16</v>
      </c>
      <c r="BG128">
        <v>3027.57</v>
      </c>
      <c r="BH128">
        <v>878.83</v>
      </c>
      <c r="BI128">
        <v>2142.69</v>
      </c>
      <c r="BJ128">
        <v>601.29999999999995</v>
      </c>
      <c r="BK128">
        <v>1137.77</v>
      </c>
      <c r="BL128">
        <v>2460.13</v>
      </c>
      <c r="BM128">
        <v>555.49</v>
      </c>
      <c r="BP128" s="3">
        <v>45644</v>
      </c>
      <c r="BQ128">
        <v>8779.2199999999993</v>
      </c>
    </row>
    <row r="129" spans="1:71" x14ac:dyDescent="0.25">
      <c r="A129" t="s">
        <v>237</v>
      </c>
      <c r="B129" t="s">
        <v>243</v>
      </c>
      <c r="C129" s="2">
        <f>HYPERLINK("https://szao.dolgi.msk.ru/account/3470033222/", 3470033222)</f>
        <v>3470033222</v>
      </c>
      <c r="D129" t="s">
        <v>29</v>
      </c>
      <c r="E129">
        <v>14829.08</v>
      </c>
      <c r="AX129">
        <v>2.82</v>
      </c>
      <c r="AY129">
        <v>2.85</v>
      </c>
      <c r="AZ129" t="s">
        <v>40</v>
      </c>
      <c r="BA129" t="s">
        <v>31</v>
      </c>
      <c r="BB129">
        <v>14829.08</v>
      </c>
      <c r="BC129">
        <v>14829.08</v>
      </c>
      <c r="BD129">
        <v>14829.08</v>
      </c>
      <c r="BE129">
        <v>14829.08</v>
      </c>
      <c r="BF129">
        <v>9627.84</v>
      </c>
      <c r="BG129">
        <v>4137.08</v>
      </c>
      <c r="BH129">
        <v>1244.1300000000001</v>
      </c>
      <c r="BI129">
        <v>3022.65</v>
      </c>
      <c r="BJ129">
        <v>851.25</v>
      </c>
      <c r="BK129">
        <v>1608.69</v>
      </c>
      <c r="BL129">
        <v>3181.83</v>
      </c>
      <c r="BM129">
        <v>783.45</v>
      </c>
      <c r="BP129" s="3">
        <v>45667</v>
      </c>
      <c r="BQ129">
        <v>4813.92</v>
      </c>
    </row>
    <row r="130" spans="1:71" x14ac:dyDescent="0.25">
      <c r="A130" t="s">
        <v>244</v>
      </c>
      <c r="B130" t="s">
        <v>245</v>
      </c>
      <c r="C130" s="2">
        <f>HYPERLINK("https://szao.dolgi.msk.ru/account/3470325647/", 3470325647)</f>
        <v>3470325647</v>
      </c>
      <c r="D130" t="s">
        <v>29</v>
      </c>
      <c r="E130">
        <v>37800.82</v>
      </c>
      <c r="AX130">
        <v>25.13</v>
      </c>
      <c r="AY130">
        <v>15.58</v>
      </c>
      <c r="AZ130" t="s">
        <v>69</v>
      </c>
      <c r="BA130" t="s">
        <v>36</v>
      </c>
      <c r="BB130">
        <v>37800.82</v>
      </c>
      <c r="BC130">
        <v>37800.82</v>
      </c>
      <c r="BD130">
        <v>39723.300000000003</v>
      </c>
      <c r="BE130">
        <v>39723.300000000003</v>
      </c>
      <c r="BF130">
        <v>35374.160000000003</v>
      </c>
      <c r="BG130">
        <v>-1922.48</v>
      </c>
      <c r="BH130">
        <v>8227.61</v>
      </c>
      <c r="BI130">
        <v>8185.6</v>
      </c>
      <c r="BJ130">
        <v>3734.93</v>
      </c>
      <c r="BK130">
        <v>7975.45</v>
      </c>
      <c r="BL130">
        <v>11077.5</v>
      </c>
      <c r="BM130">
        <v>522.21</v>
      </c>
      <c r="BP130" s="3">
        <v>45595</v>
      </c>
      <c r="BQ130">
        <v>2470.4</v>
      </c>
      <c r="BR130" s="3">
        <v>45313</v>
      </c>
      <c r="BS130" t="s">
        <v>246</v>
      </c>
    </row>
    <row r="131" spans="1:71" x14ac:dyDescent="0.25">
      <c r="A131" t="s">
        <v>244</v>
      </c>
      <c r="B131" t="s">
        <v>247</v>
      </c>
      <c r="C131" s="2">
        <f>HYPERLINK("https://szao.dolgi.msk.ru/account/3470325671/", 3470325671)</f>
        <v>3470325671</v>
      </c>
      <c r="D131" t="s">
        <v>29</v>
      </c>
      <c r="E131">
        <v>21339.52</v>
      </c>
      <c r="AX131">
        <v>2.0299999999999998</v>
      </c>
      <c r="AY131">
        <v>2.08</v>
      </c>
      <c r="AZ131" t="s">
        <v>40</v>
      </c>
      <c r="BA131" t="s">
        <v>31</v>
      </c>
      <c r="BB131">
        <v>21339.52</v>
      </c>
      <c r="BC131">
        <v>21339.52</v>
      </c>
      <c r="BD131">
        <v>21339.52</v>
      </c>
      <c r="BE131">
        <v>21339.52</v>
      </c>
      <c r="BF131">
        <v>11065.8</v>
      </c>
      <c r="BG131">
        <v>5931.95</v>
      </c>
      <c r="BH131">
        <v>956.8</v>
      </c>
      <c r="BI131">
        <v>3185.1</v>
      </c>
      <c r="BJ131">
        <v>897</v>
      </c>
      <c r="BK131">
        <v>1423.21</v>
      </c>
      <c r="BL131">
        <v>7495.92</v>
      </c>
      <c r="BM131">
        <v>1449.54</v>
      </c>
      <c r="BP131" s="3">
        <v>45639</v>
      </c>
      <c r="BQ131">
        <v>18068.09</v>
      </c>
    </row>
    <row r="132" spans="1:71" x14ac:dyDescent="0.25">
      <c r="A132" t="s">
        <v>248</v>
      </c>
      <c r="B132" t="s">
        <v>28</v>
      </c>
      <c r="C132" s="2">
        <f>HYPERLINK("https://szao.dolgi.msk.ru/account/3470483792/", 3470483792)</f>
        <v>3470483792</v>
      </c>
      <c r="D132" t="s">
        <v>29</v>
      </c>
      <c r="E132">
        <v>15306.42</v>
      </c>
      <c r="AX132">
        <v>2.71</v>
      </c>
      <c r="AY132">
        <v>2.65</v>
      </c>
      <c r="AZ132" t="s">
        <v>40</v>
      </c>
      <c r="BA132" t="s">
        <v>31</v>
      </c>
      <c r="BB132">
        <v>15306.42</v>
      </c>
      <c r="BC132">
        <v>15306.42</v>
      </c>
      <c r="BD132">
        <v>15306.42</v>
      </c>
      <c r="BE132">
        <v>15306.42</v>
      </c>
      <c r="BF132">
        <v>9523.74</v>
      </c>
      <c r="BG132">
        <v>3973.17</v>
      </c>
      <c r="BH132">
        <v>496.86</v>
      </c>
      <c r="BI132">
        <v>1699.13</v>
      </c>
      <c r="BJ132">
        <v>466.81</v>
      </c>
      <c r="BK132">
        <v>745.28</v>
      </c>
      <c r="BL132">
        <v>6910.66</v>
      </c>
      <c r="BM132">
        <v>1014.51</v>
      </c>
      <c r="BN132">
        <v>5115.17</v>
      </c>
      <c r="BP132" s="3">
        <v>45687</v>
      </c>
      <c r="BQ132">
        <v>5115.17</v>
      </c>
      <c r="BR132" s="3">
        <v>45481</v>
      </c>
      <c r="BS132" t="s">
        <v>249</v>
      </c>
    </row>
    <row r="133" spans="1:71" x14ac:dyDescent="0.25">
      <c r="A133" t="s">
        <v>248</v>
      </c>
      <c r="B133" t="s">
        <v>34</v>
      </c>
      <c r="C133" s="2">
        <f>HYPERLINK("https://szao.dolgi.msk.ru/account/3470483725/", 3470483725)</f>
        <v>3470483725</v>
      </c>
      <c r="D133" t="s">
        <v>29</v>
      </c>
      <c r="E133">
        <v>21411.07</v>
      </c>
      <c r="AX133">
        <v>4.8099999999999996</v>
      </c>
      <c r="AY133">
        <v>4.83</v>
      </c>
      <c r="AZ133" t="s">
        <v>69</v>
      </c>
      <c r="BA133" t="s">
        <v>49</v>
      </c>
      <c r="BB133">
        <v>21411.07</v>
      </c>
      <c r="BC133">
        <v>21411.07</v>
      </c>
      <c r="BD133">
        <v>21411.07</v>
      </c>
      <c r="BE133">
        <v>21411.07</v>
      </c>
      <c r="BF133">
        <v>16982.560000000001</v>
      </c>
      <c r="BG133">
        <v>3131.32</v>
      </c>
      <c r="BH133">
        <v>3934.25</v>
      </c>
      <c r="BI133">
        <v>3104.4</v>
      </c>
      <c r="BJ133">
        <v>874.3</v>
      </c>
      <c r="BK133">
        <v>3691.6</v>
      </c>
      <c r="BL133">
        <v>5843</v>
      </c>
      <c r="BM133">
        <v>832.2</v>
      </c>
      <c r="BP133" s="3">
        <v>45587</v>
      </c>
      <c r="BQ133">
        <v>4245.6400000000003</v>
      </c>
      <c r="BR133" s="3">
        <v>45496</v>
      </c>
      <c r="BS133" t="s">
        <v>250</v>
      </c>
    </row>
    <row r="134" spans="1:71" x14ac:dyDescent="0.25">
      <c r="A134" t="s">
        <v>248</v>
      </c>
      <c r="B134" t="s">
        <v>34</v>
      </c>
      <c r="C134" s="2">
        <f>HYPERLINK("https://szao.dolgi.msk.ru/account/3470484111/", 3470484111)</f>
        <v>3470484111</v>
      </c>
      <c r="D134" t="s">
        <v>29</v>
      </c>
      <c r="E134">
        <v>30592.99</v>
      </c>
      <c r="AX134">
        <v>6.74</v>
      </c>
      <c r="AY134">
        <v>6.76</v>
      </c>
      <c r="AZ134" t="s">
        <v>40</v>
      </c>
      <c r="BA134" t="s">
        <v>66</v>
      </c>
      <c r="BB134">
        <v>30592.99</v>
      </c>
      <c r="BC134">
        <v>30592.99</v>
      </c>
      <c r="BD134">
        <v>30592.99</v>
      </c>
      <c r="BE134">
        <v>30592.99</v>
      </c>
      <c r="BF134">
        <v>26065.7</v>
      </c>
      <c r="BG134">
        <v>4574.03</v>
      </c>
      <c r="BH134">
        <v>5609.6</v>
      </c>
      <c r="BI134">
        <v>4287.3599999999997</v>
      </c>
      <c r="BJ134">
        <v>1198.08</v>
      </c>
      <c r="BK134">
        <v>5257.54</v>
      </c>
      <c r="BL134">
        <v>8447.66</v>
      </c>
      <c r="BM134">
        <v>1218.72</v>
      </c>
      <c r="BP134" s="3">
        <v>45609</v>
      </c>
      <c r="BQ134">
        <v>4335.8500000000004</v>
      </c>
      <c r="BR134" s="3">
        <v>45670</v>
      </c>
      <c r="BS134" t="s">
        <v>251</v>
      </c>
    </row>
    <row r="135" spans="1:71" x14ac:dyDescent="0.25">
      <c r="A135" t="s">
        <v>248</v>
      </c>
      <c r="B135" t="s">
        <v>34</v>
      </c>
      <c r="C135" s="2">
        <f>HYPERLINK("https://szao.dolgi.msk.ru/account/3470484218/", 3470484218)</f>
        <v>3470484218</v>
      </c>
      <c r="D135" t="s">
        <v>29</v>
      </c>
      <c r="E135">
        <v>144732.43</v>
      </c>
      <c r="AX135">
        <v>22.86</v>
      </c>
      <c r="AY135">
        <v>19.760000000000002</v>
      </c>
      <c r="AZ135" t="s">
        <v>40</v>
      </c>
      <c r="BA135" t="s">
        <v>36</v>
      </c>
      <c r="BB135">
        <v>144732.43</v>
      </c>
      <c r="BC135">
        <v>144732.43</v>
      </c>
      <c r="BD135">
        <v>144732.43</v>
      </c>
      <c r="BE135">
        <v>144732.43</v>
      </c>
      <c r="BF135">
        <v>138401.04999999999</v>
      </c>
      <c r="BG135">
        <v>20230.34</v>
      </c>
      <c r="BH135">
        <v>21532.57</v>
      </c>
      <c r="BI135">
        <v>28316.47</v>
      </c>
      <c r="BJ135">
        <v>8266.06</v>
      </c>
      <c r="BK135">
        <v>24415.95</v>
      </c>
      <c r="BL135">
        <v>37311.67</v>
      </c>
      <c r="BM135">
        <v>4659.37</v>
      </c>
      <c r="BO135">
        <v>994.33</v>
      </c>
      <c r="BP135" s="3">
        <v>45698</v>
      </c>
      <c r="BQ135">
        <v>994.33</v>
      </c>
      <c r="BR135" s="3">
        <v>44949</v>
      </c>
      <c r="BS135" t="s">
        <v>252</v>
      </c>
    </row>
    <row r="136" spans="1:71" x14ac:dyDescent="0.25">
      <c r="A136" t="s">
        <v>248</v>
      </c>
      <c r="B136" t="s">
        <v>34</v>
      </c>
      <c r="C136" s="2">
        <f>HYPERLINK("https://szao.dolgi.msk.ru/account/3470484277/", 3470484277)</f>
        <v>3470484277</v>
      </c>
      <c r="D136" t="s">
        <v>29</v>
      </c>
      <c r="E136">
        <v>35366.839999999997</v>
      </c>
      <c r="AX136">
        <v>12.64</v>
      </c>
      <c r="AY136">
        <v>8.33</v>
      </c>
      <c r="AZ136" t="s">
        <v>40</v>
      </c>
      <c r="BA136" t="s">
        <v>36</v>
      </c>
      <c r="BB136">
        <v>35366.839999999997</v>
      </c>
      <c r="BC136">
        <v>35366.839999999997</v>
      </c>
      <c r="BD136">
        <v>35366.839999999997</v>
      </c>
      <c r="BE136">
        <v>35366.839999999997</v>
      </c>
      <c r="BF136">
        <v>31119.45</v>
      </c>
      <c r="BG136">
        <v>0</v>
      </c>
      <c r="BH136">
        <v>5898.33</v>
      </c>
      <c r="BI136">
        <v>9252.01</v>
      </c>
      <c r="BJ136">
        <v>1996.94</v>
      </c>
      <c r="BK136">
        <v>6681.21</v>
      </c>
      <c r="BL136">
        <v>8668.7099999999991</v>
      </c>
      <c r="BM136">
        <v>2869.64</v>
      </c>
      <c r="BO136">
        <v>4247.3900000000003</v>
      </c>
      <c r="BP136" s="3">
        <v>45686</v>
      </c>
      <c r="BQ136">
        <v>4247.3900000000003</v>
      </c>
      <c r="BR136" s="3">
        <v>45516</v>
      </c>
      <c r="BS136" t="s">
        <v>253</v>
      </c>
    </row>
    <row r="137" spans="1:71" x14ac:dyDescent="0.25">
      <c r="A137" t="s">
        <v>248</v>
      </c>
      <c r="B137" t="s">
        <v>34</v>
      </c>
      <c r="C137" s="2">
        <f>HYPERLINK("https://szao.dolgi.msk.ru/account/3470497297/", 3470497297)</f>
        <v>3470497297</v>
      </c>
      <c r="D137" t="s">
        <v>29</v>
      </c>
      <c r="E137">
        <v>46385.93</v>
      </c>
      <c r="AX137">
        <v>6.53</v>
      </c>
      <c r="AY137">
        <v>6.43</v>
      </c>
      <c r="AZ137" t="s">
        <v>40</v>
      </c>
      <c r="BA137" t="s">
        <v>66</v>
      </c>
      <c r="BB137">
        <v>46385.93</v>
      </c>
      <c r="BC137">
        <v>46385.93</v>
      </c>
      <c r="BD137">
        <v>46385.93</v>
      </c>
      <c r="BE137">
        <v>46385.93</v>
      </c>
      <c r="BF137">
        <v>39175.47</v>
      </c>
      <c r="BG137">
        <v>5066.3999999999996</v>
      </c>
      <c r="BH137">
        <v>10199.870000000001</v>
      </c>
      <c r="BI137">
        <v>8281.85</v>
      </c>
      <c r="BJ137">
        <v>2318.5</v>
      </c>
      <c r="BK137">
        <v>9654.23</v>
      </c>
      <c r="BL137">
        <v>9498.81</v>
      </c>
      <c r="BM137">
        <v>1366.27</v>
      </c>
      <c r="BN137">
        <v>33648.269999999997</v>
      </c>
      <c r="BP137" s="3">
        <v>45672</v>
      </c>
      <c r="BQ137">
        <v>26660.69</v>
      </c>
      <c r="BR137" s="3">
        <v>45513</v>
      </c>
      <c r="BS137" t="s">
        <v>254</v>
      </c>
    </row>
    <row r="138" spans="1:71" x14ac:dyDescent="0.25">
      <c r="A138" t="s">
        <v>248</v>
      </c>
      <c r="B138" t="s">
        <v>48</v>
      </c>
      <c r="C138" s="2">
        <f>HYPERLINK("https://szao.dolgi.msk.ru/account/3470484293/", 3470484293)</f>
        <v>3470484293</v>
      </c>
      <c r="D138" t="s">
        <v>29</v>
      </c>
      <c r="E138">
        <v>51332.56</v>
      </c>
      <c r="AX138">
        <v>11.73</v>
      </c>
      <c r="AY138">
        <v>5.96</v>
      </c>
      <c r="AZ138" t="s">
        <v>35</v>
      </c>
      <c r="BA138" t="s">
        <v>63</v>
      </c>
      <c r="BB138">
        <v>51332.56</v>
      </c>
      <c r="BC138">
        <v>51332.56</v>
      </c>
      <c r="BD138">
        <v>66726.350000000006</v>
      </c>
      <c r="BE138">
        <v>66726.350000000006</v>
      </c>
      <c r="BF138">
        <v>42717.23</v>
      </c>
      <c r="BG138">
        <v>-15393.79</v>
      </c>
      <c r="BH138">
        <v>14745.96</v>
      </c>
      <c r="BI138">
        <v>20280.330000000002</v>
      </c>
      <c r="BJ138">
        <v>5492.9</v>
      </c>
      <c r="BK138">
        <v>5360.18</v>
      </c>
      <c r="BL138">
        <v>18421.57</v>
      </c>
      <c r="BM138">
        <v>2425.41</v>
      </c>
      <c r="BP138" s="3">
        <v>45667</v>
      </c>
      <c r="BQ138">
        <v>7584.18</v>
      </c>
      <c r="BR138" s="3">
        <v>45639</v>
      </c>
      <c r="BS138" t="s">
        <v>255</v>
      </c>
    </row>
    <row r="139" spans="1:71" x14ac:dyDescent="0.25">
      <c r="A139" t="s">
        <v>248</v>
      </c>
      <c r="B139" t="s">
        <v>48</v>
      </c>
      <c r="C139" s="2">
        <f>HYPERLINK("https://szao.dolgi.msk.ru/account/3470484357/", 3470484357)</f>
        <v>3470484357</v>
      </c>
      <c r="D139" t="s">
        <v>29</v>
      </c>
      <c r="E139">
        <v>73331.16</v>
      </c>
      <c r="AX139">
        <v>20.13</v>
      </c>
      <c r="AY139">
        <v>17.5</v>
      </c>
      <c r="AZ139" t="s">
        <v>45</v>
      </c>
      <c r="BA139" t="s">
        <v>36</v>
      </c>
      <c r="BB139">
        <v>73331.16</v>
      </c>
      <c r="BC139">
        <v>73331.16</v>
      </c>
      <c r="BD139">
        <v>73331.16</v>
      </c>
      <c r="BE139">
        <v>73331.16</v>
      </c>
      <c r="BF139">
        <v>69140.460000000006</v>
      </c>
      <c r="BG139">
        <v>12043.48</v>
      </c>
      <c r="BH139">
        <v>11948.4</v>
      </c>
      <c r="BI139">
        <v>9260.1200000000008</v>
      </c>
      <c r="BJ139">
        <v>4276.95</v>
      </c>
      <c r="BK139">
        <v>12221.12</v>
      </c>
      <c r="BL139">
        <v>21258.93</v>
      </c>
      <c r="BM139">
        <v>2322.16</v>
      </c>
      <c r="BP139" s="3">
        <v>45596</v>
      </c>
      <c r="BQ139">
        <v>0</v>
      </c>
      <c r="BR139" s="3">
        <v>45632</v>
      </c>
      <c r="BS139" t="s">
        <v>256</v>
      </c>
    </row>
    <row r="140" spans="1:71" x14ac:dyDescent="0.25">
      <c r="A140" t="s">
        <v>248</v>
      </c>
      <c r="B140" t="s">
        <v>48</v>
      </c>
      <c r="C140" s="2">
        <f>HYPERLINK("https://szao.dolgi.msk.ru/account/3470484437/", 3470484437)</f>
        <v>3470484437</v>
      </c>
      <c r="D140" t="s">
        <v>29</v>
      </c>
      <c r="E140">
        <v>13384.45</v>
      </c>
      <c r="AX140">
        <v>6.75</v>
      </c>
      <c r="AY140">
        <v>3.07</v>
      </c>
      <c r="AZ140" t="s">
        <v>40</v>
      </c>
      <c r="BA140" t="s">
        <v>66</v>
      </c>
      <c r="BB140">
        <v>13384.45</v>
      </c>
      <c r="BC140">
        <v>13384.45</v>
      </c>
      <c r="BD140">
        <v>13384.45</v>
      </c>
      <c r="BE140">
        <v>13384.45</v>
      </c>
      <c r="BF140">
        <v>9026.7999999999993</v>
      </c>
      <c r="BG140">
        <v>218.01</v>
      </c>
      <c r="BH140">
        <v>6267.23</v>
      </c>
      <c r="BI140">
        <v>3898.48</v>
      </c>
      <c r="BJ140">
        <v>174.86</v>
      </c>
      <c r="BK140">
        <v>738.32</v>
      </c>
      <c r="BL140">
        <v>1129.31</v>
      </c>
      <c r="BM140">
        <v>958.24</v>
      </c>
      <c r="BP140" s="3">
        <v>45643</v>
      </c>
      <c r="BQ140">
        <v>3611.06</v>
      </c>
      <c r="BR140" s="3">
        <v>45481</v>
      </c>
      <c r="BS140" t="s">
        <v>257</v>
      </c>
    </row>
    <row r="141" spans="1:71" x14ac:dyDescent="0.25">
      <c r="A141" t="s">
        <v>248</v>
      </c>
      <c r="B141" t="s">
        <v>48</v>
      </c>
      <c r="C141" s="2">
        <f>HYPERLINK("https://szao.dolgi.msk.ru/account/3470484445/", 3470484445)</f>
        <v>3470484445</v>
      </c>
      <c r="D141" t="s">
        <v>29</v>
      </c>
      <c r="E141">
        <v>182810.86</v>
      </c>
      <c r="AX141">
        <v>38.74</v>
      </c>
      <c r="AY141">
        <v>36.5</v>
      </c>
      <c r="AZ141" t="s">
        <v>56</v>
      </c>
      <c r="BA141" t="s">
        <v>36</v>
      </c>
      <c r="BB141">
        <v>182810.86</v>
      </c>
      <c r="BC141">
        <v>182810.86</v>
      </c>
      <c r="BD141">
        <v>182810.86</v>
      </c>
      <c r="BE141">
        <v>182810.86</v>
      </c>
      <c r="BF141">
        <v>177802.13</v>
      </c>
      <c r="BG141">
        <v>34412.57</v>
      </c>
      <c r="BH141">
        <v>22060.69</v>
      </c>
      <c r="BI141">
        <v>26118.87</v>
      </c>
      <c r="BJ141">
        <v>6995.19</v>
      </c>
      <c r="BK141">
        <v>22109.59</v>
      </c>
      <c r="BL141">
        <v>63302.36</v>
      </c>
      <c r="BM141">
        <v>7811.59</v>
      </c>
      <c r="BP141" s="3">
        <v>45596</v>
      </c>
      <c r="BQ141">
        <v>0</v>
      </c>
      <c r="BR141" s="3">
        <v>45632</v>
      </c>
      <c r="BS141" t="s">
        <v>258</v>
      </c>
    </row>
    <row r="142" spans="1:71" x14ac:dyDescent="0.25">
      <c r="A142" t="s">
        <v>248</v>
      </c>
      <c r="B142" t="s">
        <v>80</v>
      </c>
      <c r="C142" s="2">
        <f>HYPERLINK("https://szao.dolgi.msk.ru/account/3470484015/", 3470484015)</f>
        <v>3470484015</v>
      </c>
      <c r="D142" t="s">
        <v>29</v>
      </c>
      <c r="E142">
        <v>48111.08</v>
      </c>
      <c r="AX142">
        <v>10.11</v>
      </c>
      <c r="AY142">
        <v>10.18</v>
      </c>
      <c r="AZ142" t="s">
        <v>40</v>
      </c>
      <c r="BA142" t="s">
        <v>63</v>
      </c>
      <c r="BB142">
        <v>48111.08</v>
      </c>
      <c r="BC142">
        <v>48111.08</v>
      </c>
      <c r="BD142">
        <v>48111.08</v>
      </c>
      <c r="BE142">
        <v>48111.08</v>
      </c>
      <c r="BF142">
        <v>43384.82</v>
      </c>
      <c r="BG142">
        <v>10382.43</v>
      </c>
      <c r="BH142">
        <v>1360.73</v>
      </c>
      <c r="BI142">
        <v>8710.06</v>
      </c>
      <c r="BJ142">
        <v>2372.36</v>
      </c>
      <c r="BK142">
        <v>2899.88</v>
      </c>
      <c r="BL142">
        <v>19491.84</v>
      </c>
      <c r="BM142">
        <v>2893.78</v>
      </c>
      <c r="BP142" s="3">
        <v>45603</v>
      </c>
      <c r="BQ142">
        <v>4567.07</v>
      </c>
      <c r="BR142" s="3">
        <v>45481</v>
      </c>
      <c r="BS142" t="s">
        <v>259</v>
      </c>
    </row>
    <row r="143" spans="1:71" x14ac:dyDescent="0.25">
      <c r="A143" t="s">
        <v>248</v>
      </c>
      <c r="B143" t="s">
        <v>80</v>
      </c>
      <c r="C143" s="2">
        <f>HYPERLINK("https://szao.dolgi.msk.ru/account/3470484066/", 3470484066)</f>
        <v>3470484066</v>
      </c>
      <c r="D143" t="s">
        <v>29</v>
      </c>
      <c r="E143">
        <v>7479.36</v>
      </c>
      <c r="AX143">
        <v>3.05</v>
      </c>
      <c r="AY143">
        <v>2.82</v>
      </c>
      <c r="AZ143" t="s">
        <v>69</v>
      </c>
      <c r="BA143" t="s">
        <v>49</v>
      </c>
      <c r="BB143">
        <v>7479.36</v>
      </c>
      <c r="BC143">
        <v>7479.36</v>
      </c>
      <c r="BD143">
        <v>7479.36</v>
      </c>
      <c r="BE143">
        <v>7479.36</v>
      </c>
      <c r="BF143">
        <v>4826.4799999999996</v>
      </c>
      <c r="BG143">
        <v>2215.37</v>
      </c>
      <c r="BH143">
        <v>173.76</v>
      </c>
      <c r="BI143">
        <v>272.04000000000002</v>
      </c>
      <c r="BJ143">
        <v>76.64</v>
      </c>
      <c r="BK143">
        <v>195.92</v>
      </c>
      <c r="BL143">
        <v>3978.93</v>
      </c>
      <c r="BM143">
        <v>566.70000000000005</v>
      </c>
      <c r="BP143" s="3">
        <v>45587</v>
      </c>
      <c r="BQ143">
        <v>4945.28</v>
      </c>
      <c r="BR143" s="3">
        <v>45498</v>
      </c>
      <c r="BS143" t="s">
        <v>260</v>
      </c>
    </row>
    <row r="144" spans="1:71" x14ac:dyDescent="0.25">
      <c r="A144" t="s">
        <v>261</v>
      </c>
      <c r="B144" t="s">
        <v>147</v>
      </c>
      <c r="C144" s="2">
        <f>HYPERLINK("https://szao.dolgi.msk.ru/account/3470330999/", 3470330999)</f>
        <v>3470330999</v>
      </c>
      <c r="D144" t="s">
        <v>29</v>
      </c>
      <c r="E144">
        <v>8482.7099999999991</v>
      </c>
      <c r="AX144">
        <v>2.38</v>
      </c>
      <c r="AY144">
        <v>1.94</v>
      </c>
      <c r="AZ144" t="s">
        <v>40</v>
      </c>
      <c r="BA144" t="s">
        <v>31</v>
      </c>
      <c r="BB144">
        <v>8482.7099999999991</v>
      </c>
      <c r="BC144">
        <v>8482.7099999999991</v>
      </c>
      <c r="BD144">
        <v>8482.7099999999991</v>
      </c>
      <c r="BE144">
        <v>8482.7099999999991</v>
      </c>
      <c r="BF144">
        <v>4098.9799999999996</v>
      </c>
      <c r="BG144">
        <v>1678.69</v>
      </c>
      <c r="BH144">
        <v>0</v>
      </c>
      <c r="BI144">
        <v>0</v>
      </c>
      <c r="BJ144">
        <v>0</v>
      </c>
      <c r="BK144">
        <v>0</v>
      </c>
      <c r="BL144">
        <v>6098.32</v>
      </c>
      <c r="BM144">
        <v>705.7</v>
      </c>
      <c r="BP144" s="3">
        <v>45653</v>
      </c>
      <c r="BQ144">
        <v>4098.9799999999996</v>
      </c>
    </row>
    <row r="145" spans="1:71" x14ac:dyDescent="0.25">
      <c r="A145" t="s">
        <v>262</v>
      </c>
      <c r="B145" t="s">
        <v>127</v>
      </c>
      <c r="C145" s="2">
        <f>HYPERLINK("https://szao.dolgi.msk.ru/account/3470036327/", 3470036327)</f>
        <v>3470036327</v>
      </c>
      <c r="D145" t="s">
        <v>29</v>
      </c>
      <c r="E145">
        <v>328748.11</v>
      </c>
      <c r="AX145">
        <v>32.65</v>
      </c>
      <c r="AY145">
        <v>29.25</v>
      </c>
      <c r="AZ145" t="s">
        <v>56</v>
      </c>
      <c r="BA145" t="s">
        <v>36</v>
      </c>
      <c r="BB145">
        <v>328748.11</v>
      </c>
      <c r="BC145">
        <v>328748.11</v>
      </c>
      <c r="BD145">
        <v>328748.11</v>
      </c>
      <c r="BE145">
        <v>328748.11</v>
      </c>
      <c r="BF145">
        <v>317509.49</v>
      </c>
      <c r="BG145">
        <v>64859.72</v>
      </c>
      <c r="BH145">
        <v>42593.16</v>
      </c>
      <c r="BI145">
        <v>107979.64</v>
      </c>
      <c r="BJ145">
        <v>28769.67</v>
      </c>
      <c r="BK145">
        <v>14035.71</v>
      </c>
      <c r="BL145">
        <v>59063.360000000001</v>
      </c>
      <c r="BM145">
        <v>11446.85</v>
      </c>
      <c r="BP145" s="3">
        <v>44803</v>
      </c>
      <c r="BQ145">
        <v>0</v>
      </c>
      <c r="BR145" s="3">
        <v>45670</v>
      </c>
      <c r="BS145" t="s">
        <v>263</v>
      </c>
    </row>
    <row r="146" spans="1:71" x14ac:dyDescent="0.25">
      <c r="A146" t="s">
        <v>262</v>
      </c>
      <c r="B146" t="s">
        <v>173</v>
      </c>
      <c r="C146" s="2">
        <f>HYPERLINK("https://szao.dolgi.msk.ru/account/3470035439/", 3470035439)</f>
        <v>3470035439</v>
      </c>
      <c r="D146" t="s">
        <v>29</v>
      </c>
      <c r="E146">
        <v>220217.12</v>
      </c>
      <c r="AX146">
        <v>23.34</v>
      </c>
      <c r="AY146">
        <v>22.3</v>
      </c>
      <c r="AZ146" t="s">
        <v>56</v>
      </c>
      <c r="BA146" t="s">
        <v>36</v>
      </c>
      <c r="BB146">
        <v>220217.12</v>
      </c>
      <c r="BC146">
        <v>220217.12</v>
      </c>
      <c r="BD146">
        <v>220217.12</v>
      </c>
      <c r="BE146">
        <v>220217.12</v>
      </c>
      <c r="BF146">
        <v>210449.98</v>
      </c>
      <c r="BG146">
        <v>47198.84</v>
      </c>
      <c r="BH146">
        <v>22872.92</v>
      </c>
      <c r="BI146">
        <v>58882.49</v>
      </c>
      <c r="BJ146">
        <v>15672.29</v>
      </c>
      <c r="BK146">
        <v>29802.79</v>
      </c>
      <c r="BL146">
        <v>35987.96</v>
      </c>
      <c r="BM146">
        <v>9799.83</v>
      </c>
      <c r="BP146" s="3">
        <v>44447</v>
      </c>
      <c r="BQ146">
        <v>2170.33</v>
      </c>
      <c r="BR146" s="3">
        <v>45331</v>
      </c>
      <c r="BS146" t="s">
        <v>128</v>
      </c>
    </row>
    <row r="147" spans="1:71" x14ac:dyDescent="0.25">
      <c r="A147" t="s">
        <v>264</v>
      </c>
      <c r="B147" t="s">
        <v>34</v>
      </c>
      <c r="C147" s="2">
        <f>HYPERLINK("https://szao.dolgi.msk.ru/account/3470479777/", 3470479777)</f>
        <v>3470479777</v>
      </c>
      <c r="D147" t="s">
        <v>29</v>
      </c>
      <c r="E147">
        <v>32501.9</v>
      </c>
      <c r="AX147">
        <v>33.21</v>
      </c>
      <c r="AY147">
        <v>23.4</v>
      </c>
      <c r="AZ147" t="s">
        <v>56</v>
      </c>
      <c r="BA147" t="s">
        <v>36</v>
      </c>
      <c r="BB147">
        <v>32501.9</v>
      </c>
      <c r="BC147">
        <v>32501.9</v>
      </c>
      <c r="BD147">
        <v>32501.9</v>
      </c>
      <c r="BE147">
        <v>32501.9</v>
      </c>
      <c r="BF147">
        <v>31133.9</v>
      </c>
      <c r="BG147">
        <v>539.4</v>
      </c>
      <c r="BH147">
        <v>2100.31</v>
      </c>
      <c r="BI147">
        <v>6528.07</v>
      </c>
      <c r="BJ147">
        <v>2176.15</v>
      </c>
      <c r="BK147">
        <v>2968.5</v>
      </c>
      <c r="BL147">
        <v>14880.73</v>
      </c>
      <c r="BM147">
        <v>3308.74</v>
      </c>
      <c r="BN147">
        <v>21.05</v>
      </c>
      <c r="BP147" s="3">
        <v>45696</v>
      </c>
      <c r="BQ147">
        <v>21.05</v>
      </c>
      <c r="BR147" s="3">
        <v>45632</v>
      </c>
      <c r="BS147" t="s">
        <v>265</v>
      </c>
    </row>
    <row r="148" spans="1:71" x14ac:dyDescent="0.25">
      <c r="A148" t="s">
        <v>264</v>
      </c>
      <c r="B148" t="s">
        <v>34</v>
      </c>
      <c r="C148" s="2">
        <f>HYPERLINK("https://szao.dolgi.msk.ru/account/3470601808/", 3470601808)</f>
        <v>3470601808</v>
      </c>
      <c r="D148" t="s">
        <v>29</v>
      </c>
      <c r="E148">
        <v>23985.19</v>
      </c>
      <c r="AX148">
        <v>12.72</v>
      </c>
      <c r="AY148">
        <v>12.69</v>
      </c>
      <c r="AZ148" t="s">
        <v>56</v>
      </c>
      <c r="BA148" t="s">
        <v>36</v>
      </c>
      <c r="BB148">
        <v>23985.19</v>
      </c>
      <c r="BC148">
        <v>23985.19</v>
      </c>
      <c r="BD148">
        <v>23985.19</v>
      </c>
      <c r="BE148">
        <v>23985.19</v>
      </c>
      <c r="BF148">
        <v>22095.51</v>
      </c>
      <c r="BG148">
        <v>2755.63</v>
      </c>
      <c r="BH148">
        <v>2518.2399999999998</v>
      </c>
      <c r="BI148">
        <v>5445.26</v>
      </c>
      <c r="BJ148">
        <v>1485.52</v>
      </c>
      <c r="BK148">
        <v>3110</v>
      </c>
      <c r="BL148">
        <v>7264.45</v>
      </c>
      <c r="BM148">
        <v>1406.09</v>
      </c>
      <c r="BR148" s="3">
        <v>45481</v>
      </c>
      <c r="BS148" t="s">
        <v>266</v>
      </c>
    </row>
    <row r="149" spans="1:71" x14ac:dyDescent="0.25">
      <c r="A149" t="s">
        <v>264</v>
      </c>
      <c r="B149" t="s">
        <v>48</v>
      </c>
      <c r="C149" s="2">
        <f>HYPERLINK("https://szao.dolgi.msk.ru/account/3470479822/", 3470479822)</f>
        <v>3470479822</v>
      </c>
      <c r="D149" t="s">
        <v>29</v>
      </c>
      <c r="E149">
        <v>2878.04</v>
      </c>
      <c r="AX149">
        <v>3.18</v>
      </c>
      <c r="AY149">
        <v>1.91</v>
      </c>
      <c r="AZ149" t="s">
        <v>40</v>
      </c>
      <c r="BA149" t="s">
        <v>49</v>
      </c>
      <c r="BB149">
        <v>2878.04</v>
      </c>
      <c r="BC149">
        <v>2878.04</v>
      </c>
      <c r="BD149">
        <v>7577.62</v>
      </c>
      <c r="BE149">
        <v>7577.62</v>
      </c>
      <c r="BF149">
        <v>1373.03</v>
      </c>
      <c r="BG149">
        <v>778.08</v>
      </c>
      <c r="BH149">
        <v>-4699.58</v>
      </c>
      <c r="BI149">
        <v>0</v>
      </c>
      <c r="BJ149">
        <v>1587.63</v>
      </c>
      <c r="BK149">
        <v>3111.95</v>
      </c>
      <c r="BL149">
        <v>1772.86</v>
      </c>
      <c r="BM149">
        <v>327.10000000000002</v>
      </c>
      <c r="BP149" s="3">
        <v>45653</v>
      </c>
      <c r="BQ149">
        <v>1373.03</v>
      </c>
    </row>
    <row r="150" spans="1:71" x14ac:dyDescent="0.25">
      <c r="A150" t="s">
        <v>264</v>
      </c>
      <c r="B150" t="s">
        <v>48</v>
      </c>
      <c r="C150" s="2">
        <f>HYPERLINK("https://szao.dolgi.msk.ru/account/3470479873/", 3470479873)</f>
        <v>3470479873</v>
      </c>
      <c r="D150" t="s">
        <v>29</v>
      </c>
      <c r="E150">
        <v>9631.59</v>
      </c>
      <c r="AX150">
        <v>4.7300000000000004</v>
      </c>
      <c r="AY150">
        <v>4.72</v>
      </c>
      <c r="AZ150" t="s">
        <v>69</v>
      </c>
      <c r="BA150" t="s">
        <v>49</v>
      </c>
      <c r="BB150">
        <v>9631.59</v>
      </c>
      <c r="BC150">
        <v>9631.59</v>
      </c>
      <c r="BD150">
        <v>9631.59</v>
      </c>
      <c r="BE150">
        <v>9631.59</v>
      </c>
      <c r="BF150">
        <v>7591.9</v>
      </c>
      <c r="BG150">
        <v>1992.68</v>
      </c>
      <c r="BH150">
        <v>244.57</v>
      </c>
      <c r="BI150">
        <v>813.97</v>
      </c>
      <c r="BJ150">
        <v>229.23</v>
      </c>
      <c r="BK150">
        <v>363.74</v>
      </c>
      <c r="BL150">
        <v>5054.8</v>
      </c>
      <c r="BM150">
        <v>932.6</v>
      </c>
      <c r="BP150" s="3">
        <v>45574</v>
      </c>
      <c r="BQ150">
        <v>5477.83</v>
      </c>
      <c r="BR150" s="3">
        <v>45481</v>
      </c>
      <c r="BS150" t="s">
        <v>267</v>
      </c>
    </row>
    <row r="151" spans="1:71" x14ac:dyDescent="0.25">
      <c r="A151" t="s">
        <v>264</v>
      </c>
      <c r="B151" t="s">
        <v>80</v>
      </c>
      <c r="C151" s="2">
        <f>HYPERLINK("https://szao.dolgi.msk.ru/account/3470480305/", 3470480305)</f>
        <v>3470480305</v>
      </c>
      <c r="D151" t="s">
        <v>29</v>
      </c>
      <c r="E151">
        <v>90924.22</v>
      </c>
      <c r="AX151">
        <v>39.19</v>
      </c>
      <c r="AY151">
        <v>37.81</v>
      </c>
      <c r="AZ151" t="s">
        <v>56</v>
      </c>
      <c r="BA151" t="s">
        <v>36</v>
      </c>
      <c r="BB151">
        <v>90924.22</v>
      </c>
      <c r="BC151">
        <v>90924.22</v>
      </c>
      <c r="BD151">
        <v>90924.22</v>
      </c>
      <c r="BE151">
        <v>90924.22</v>
      </c>
      <c r="BF151">
        <v>88519.6</v>
      </c>
      <c r="BG151">
        <v>9081.1</v>
      </c>
      <c r="BH151">
        <v>8046.55</v>
      </c>
      <c r="BI151">
        <v>13199.95</v>
      </c>
      <c r="BJ151">
        <v>7402.29</v>
      </c>
      <c r="BK151">
        <v>11490.05</v>
      </c>
      <c r="BL151">
        <v>36083.160000000003</v>
      </c>
      <c r="BM151">
        <v>5621.12</v>
      </c>
      <c r="BP151" s="3">
        <v>45596</v>
      </c>
      <c r="BQ151">
        <v>0</v>
      </c>
      <c r="BR151" s="3">
        <v>45513</v>
      </c>
      <c r="BS151" t="s">
        <v>268</v>
      </c>
    </row>
    <row r="152" spans="1:71" x14ac:dyDescent="0.25">
      <c r="A152" t="s">
        <v>264</v>
      </c>
      <c r="B152" t="s">
        <v>80</v>
      </c>
      <c r="C152" s="2">
        <f>HYPERLINK("https://szao.dolgi.msk.ru/account/3470480356/", 3470480356)</f>
        <v>3470480356</v>
      </c>
      <c r="D152" t="s">
        <v>29</v>
      </c>
      <c r="E152">
        <v>12838.32</v>
      </c>
      <c r="AX152">
        <v>6.29</v>
      </c>
      <c r="AY152">
        <v>6.4</v>
      </c>
      <c r="AZ152" t="s">
        <v>40</v>
      </c>
      <c r="BA152" t="s">
        <v>66</v>
      </c>
      <c r="BB152">
        <v>12838.32</v>
      </c>
      <c r="BC152">
        <v>12838.32</v>
      </c>
      <c r="BD152">
        <v>12838.32</v>
      </c>
      <c r="BE152">
        <v>12838.32</v>
      </c>
      <c r="BF152">
        <v>10833.86</v>
      </c>
      <c r="BG152">
        <v>2213.04</v>
      </c>
      <c r="BH152">
        <v>507.34</v>
      </c>
      <c r="BI152">
        <v>2152.1</v>
      </c>
      <c r="BJ152">
        <v>570.17999999999995</v>
      </c>
      <c r="BK152">
        <v>845.63</v>
      </c>
      <c r="BL152">
        <v>5465.73</v>
      </c>
      <c r="BM152">
        <v>1084.3</v>
      </c>
      <c r="BP152" s="3">
        <v>45654</v>
      </c>
      <c r="BQ152">
        <v>3657.34</v>
      </c>
      <c r="BR152" s="3">
        <v>45510</v>
      </c>
      <c r="BS152" t="s">
        <v>269</v>
      </c>
    </row>
    <row r="153" spans="1:71" x14ac:dyDescent="0.25">
      <c r="A153" t="s">
        <v>264</v>
      </c>
      <c r="B153" t="s">
        <v>52</v>
      </c>
      <c r="C153" s="2">
        <f>HYPERLINK("https://szao.dolgi.msk.ru/account/3470480153/", 3470480153)</f>
        <v>3470480153</v>
      </c>
      <c r="D153" t="s">
        <v>29</v>
      </c>
      <c r="E153">
        <v>102340.4</v>
      </c>
      <c r="AX153">
        <v>23.62</v>
      </c>
      <c r="AY153">
        <v>19.86</v>
      </c>
      <c r="AZ153" t="s">
        <v>45</v>
      </c>
      <c r="BA153" t="s">
        <v>36</v>
      </c>
      <c r="BB153">
        <v>102340.4</v>
      </c>
      <c r="BC153">
        <v>102340.4</v>
      </c>
      <c r="BD153">
        <v>112445.2</v>
      </c>
      <c r="BE153">
        <v>112445.2</v>
      </c>
      <c r="BF153">
        <v>97188.11</v>
      </c>
      <c r="BG153">
        <v>-10104.799999999999</v>
      </c>
      <c r="BH153">
        <v>14757.48</v>
      </c>
      <c r="BI153">
        <v>40970.410000000003</v>
      </c>
      <c r="BJ153">
        <v>14168.54</v>
      </c>
      <c r="BK153">
        <v>6343.66</v>
      </c>
      <c r="BL153">
        <v>28177.89</v>
      </c>
      <c r="BM153">
        <v>8027.22</v>
      </c>
      <c r="BP153" s="3">
        <v>45596</v>
      </c>
      <c r="BQ153">
        <v>0</v>
      </c>
      <c r="BR153" s="3">
        <v>45513</v>
      </c>
      <c r="BS153" t="s">
        <v>270</v>
      </c>
    </row>
    <row r="154" spans="1:71" x14ac:dyDescent="0.25">
      <c r="A154" t="s">
        <v>271</v>
      </c>
      <c r="B154" t="s">
        <v>92</v>
      </c>
      <c r="C154" s="2">
        <f>HYPERLINK("https://szao.dolgi.msk.ru/account/3470322884/", 3470322884)</f>
        <v>3470322884</v>
      </c>
      <c r="D154" t="s">
        <v>29</v>
      </c>
      <c r="E154">
        <v>251817.3</v>
      </c>
      <c r="AX154">
        <v>43.37</v>
      </c>
      <c r="AY154">
        <v>34.64</v>
      </c>
      <c r="AZ154" t="s">
        <v>56</v>
      </c>
      <c r="BA154" t="s">
        <v>36</v>
      </c>
      <c r="BB154">
        <v>251817.3</v>
      </c>
      <c r="BC154">
        <v>251817.3</v>
      </c>
      <c r="BD154">
        <v>251817.3</v>
      </c>
      <c r="BE154">
        <v>251817.3</v>
      </c>
      <c r="BF154">
        <v>244546.87</v>
      </c>
      <c r="BG154">
        <v>83989.23</v>
      </c>
      <c r="BH154">
        <v>13385.27</v>
      </c>
      <c r="BI154">
        <v>32687.57</v>
      </c>
      <c r="BJ154">
        <v>10305.73</v>
      </c>
      <c r="BK154">
        <v>18028.11</v>
      </c>
      <c r="BL154">
        <v>78055.53</v>
      </c>
      <c r="BM154">
        <v>15365.86</v>
      </c>
      <c r="BP154" s="3">
        <v>44308</v>
      </c>
      <c r="BQ154">
        <v>68070.36</v>
      </c>
      <c r="BR154" s="3">
        <v>45355</v>
      </c>
      <c r="BS154" t="s">
        <v>272</v>
      </c>
    </row>
    <row r="155" spans="1:71" x14ac:dyDescent="0.25">
      <c r="A155" t="s">
        <v>273</v>
      </c>
      <c r="B155" t="s">
        <v>28</v>
      </c>
      <c r="C155" s="2">
        <f>HYPERLINK("https://szao.dolgi.msk.ru/account/3470038808/", 3470038808)</f>
        <v>3470038808</v>
      </c>
      <c r="D155" t="s">
        <v>29</v>
      </c>
      <c r="E155">
        <v>13000.55</v>
      </c>
      <c r="AX155">
        <v>2.75</v>
      </c>
      <c r="AY155">
        <v>2.74</v>
      </c>
      <c r="AZ155" t="s">
        <v>30</v>
      </c>
      <c r="BA155" t="s">
        <v>31</v>
      </c>
      <c r="BB155">
        <v>13000.55</v>
      </c>
      <c r="BC155">
        <v>13000.55</v>
      </c>
      <c r="BD155">
        <v>13000.55</v>
      </c>
      <c r="BE155">
        <v>13000.55</v>
      </c>
      <c r="BF155">
        <v>8074.3</v>
      </c>
      <c r="BG155">
        <v>4662.83</v>
      </c>
      <c r="BH155">
        <v>598</v>
      </c>
      <c r="BI155">
        <v>2639.45</v>
      </c>
      <c r="BJ155">
        <v>743.33</v>
      </c>
      <c r="BK155">
        <v>1032.97</v>
      </c>
      <c r="BL155">
        <v>2727.57</v>
      </c>
      <c r="BM155">
        <v>596.4</v>
      </c>
      <c r="BP155" s="3">
        <v>45608</v>
      </c>
      <c r="BQ155">
        <v>8352.6</v>
      </c>
    </row>
    <row r="156" spans="1:71" x14ac:dyDescent="0.25">
      <c r="A156" t="s">
        <v>273</v>
      </c>
      <c r="B156" t="s">
        <v>80</v>
      </c>
      <c r="C156" s="2">
        <f>HYPERLINK("https://szao.dolgi.msk.ru/account/3470039261/", 3470039261)</f>
        <v>3470039261</v>
      </c>
      <c r="D156" t="s">
        <v>29</v>
      </c>
      <c r="E156">
        <v>71863.17</v>
      </c>
      <c r="AX156">
        <v>3.88</v>
      </c>
      <c r="AY156">
        <v>3.91</v>
      </c>
      <c r="AZ156" t="s">
        <v>69</v>
      </c>
      <c r="BA156" t="s">
        <v>49</v>
      </c>
      <c r="BB156">
        <v>71863.17</v>
      </c>
      <c r="BC156">
        <v>71863.17</v>
      </c>
      <c r="BD156">
        <v>71863.17</v>
      </c>
      <c r="BE156">
        <v>71863.17</v>
      </c>
      <c r="BF156">
        <v>53501.43</v>
      </c>
      <c r="BG156">
        <v>7337.33</v>
      </c>
      <c r="BH156">
        <v>9953.1200000000008</v>
      </c>
      <c r="BI156">
        <v>24181.279999999999</v>
      </c>
      <c r="BJ156">
        <v>6810.04</v>
      </c>
      <c r="BK156">
        <v>12869.48</v>
      </c>
      <c r="BL156">
        <v>8789.9599999999991</v>
      </c>
      <c r="BM156">
        <v>1921.96</v>
      </c>
      <c r="BP156" s="3">
        <v>45594</v>
      </c>
      <c r="BQ156">
        <v>35667.620000000003</v>
      </c>
    </row>
    <row r="157" spans="1:71" x14ac:dyDescent="0.25">
      <c r="A157" t="s">
        <v>273</v>
      </c>
      <c r="B157" t="s">
        <v>127</v>
      </c>
      <c r="C157" s="2">
        <f>HYPERLINK("https://szao.dolgi.msk.ru/account/3470039384/", 3470039384)</f>
        <v>3470039384</v>
      </c>
      <c r="D157" t="s">
        <v>29</v>
      </c>
      <c r="E157">
        <v>16475.82</v>
      </c>
      <c r="AX157">
        <v>2</v>
      </c>
      <c r="AY157">
        <v>1.98</v>
      </c>
      <c r="AZ157" t="s">
        <v>30</v>
      </c>
      <c r="BA157" t="s">
        <v>31</v>
      </c>
      <c r="BB157">
        <v>16475.82</v>
      </c>
      <c r="BC157">
        <v>16475.82</v>
      </c>
      <c r="BD157">
        <v>16475.82</v>
      </c>
      <c r="BE157">
        <v>16475.82</v>
      </c>
      <c r="BF157">
        <v>48947.48</v>
      </c>
      <c r="BG157">
        <v>4206.55</v>
      </c>
      <c r="BH157">
        <v>1242.47</v>
      </c>
      <c r="BI157">
        <v>2825.61</v>
      </c>
      <c r="BJ157">
        <v>795.76</v>
      </c>
      <c r="BK157">
        <v>1564.8</v>
      </c>
      <c r="BL157">
        <v>4757.45</v>
      </c>
      <c r="BM157">
        <v>1083.18</v>
      </c>
      <c r="BN157">
        <v>40785.4</v>
      </c>
      <c r="BP157" s="3">
        <v>45691</v>
      </c>
      <c r="BQ157">
        <v>40785.4</v>
      </c>
      <c r="BR157" s="3">
        <v>45642</v>
      </c>
      <c r="BS157" t="s">
        <v>274</v>
      </c>
    </row>
    <row r="158" spans="1:71" x14ac:dyDescent="0.25">
      <c r="A158" t="s">
        <v>273</v>
      </c>
      <c r="B158" t="s">
        <v>194</v>
      </c>
      <c r="C158" s="2">
        <f>HYPERLINK("https://szao.dolgi.msk.ru/account/3470481914/", 3470481914)</f>
        <v>3470481914</v>
      </c>
      <c r="D158" t="s">
        <v>29</v>
      </c>
      <c r="E158">
        <v>74258.67</v>
      </c>
      <c r="AX158">
        <v>31.39</v>
      </c>
      <c r="AY158">
        <v>26.63</v>
      </c>
      <c r="AZ158" t="s">
        <v>45</v>
      </c>
      <c r="BA158" t="s">
        <v>36</v>
      </c>
      <c r="BB158">
        <v>74258.67</v>
      </c>
      <c r="BC158">
        <v>74258.67</v>
      </c>
      <c r="BD158">
        <v>75684.75</v>
      </c>
      <c r="BE158">
        <v>75684.75</v>
      </c>
      <c r="BF158">
        <v>71469.98</v>
      </c>
      <c r="BG158">
        <v>22067.63</v>
      </c>
      <c r="BH158">
        <v>-1426.08</v>
      </c>
      <c r="BI158">
        <v>15041.49</v>
      </c>
      <c r="BJ158">
        <v>3371.75</v>
      </c>
      <c r="BK158">
        <v>619.24</v>
      </c>
      <c r="BL158">
        <v>28100.54</v>
      </c>
      <c r="BM158">
        <v>6484.1</v>
      </c>
      <c r="BP158" s="3">
        <v>45626</v>
      </c>
      <c r="BQ158">
        <v>0</v>
      </c>
      <c r="BR158" s="3">
        <v>45616</v>
      </c>
      <c r="BS158" t="s">
        <v>275</v>
      </c>
    </row>
    <row r="159" spans="1:71" x14ac:dyDescent="0.25">
      <c r="A159" t="s">
        <v>273</v>
      </c>
      <c r="B159" t="s">
        <v>225</v>
      </c>
      <c r="C159" s="2">
        <f>HYPERLINK("https://szao.dolgi.msk.ru/account/3470039202/", 3470039202)</f>
        <v>3470039202</v>
      </c>
      <c r="D159" t="s">
        <v>29</v>
      </c>
      <c r="E159">
        <v>143207.07</v>
      </c>
      <c r="AX159">
        <v>21.38</v>
      </c>
      <c r="AY159">
        <v>21.59</v>
      </c>
      <c r="AZ159" t="s">
        <v>40</v>
      </c>
      <c r="BA159" t="s">
        <v>36</v>
      </c>
      <c r="BB159">
        <v>143207.07</v>
      </c>
      <c r="BC159">
        <v>143207.07</v>
      </c>
      <c r="BD159">
        <v>143207.07</v>
      </c>
      <c r="BE159">
        <v>143207.07</v>
      </c>
      <c r="BF159">
        <v>162383.88</v>
      </c>
      <c r="BG159">
        <v>27006.42</v>
      </c>
      <c r="BH159">
        <v>11163.39</v>
      </c>
      <c r="BI159">
        <v>29775.45</v>
      </c>
      <c r="BJ159">
        <v>6658.44</v>
      </c>
      <c r="BK159">
        <v>17384.43</v>
      </c>
      <c r="BL159">
        <v>40878.19</v>
      </c>
      <c r="BM159">
        <v>10340.75</v>
      </c>
      <c r="BN159">
        <v>25810.85</v>
      </c>
      <c r="BP159" s="3">
        <v>45696</v>
      </c>
      <c r="BQ159">
        <v>25810.85</v>
      </c>
      <c r="BR159" s="3">
        <v>45442</v>
      </c>
      <c r="BS159" t="s">
        <v>276</v>
      </c>
    </row>
    <row r="160" spans="1:71" x14ac:dyDescent="0.25">
      <c r="A160" t="s">
        <v>277</v>
      </c>
      <c r="B160" t="s">
        <v>100</v>
      </c>
      <c r="C160" s="2">
        <f>HYPERLINK("https://szao.dolgi.msk.ru/account/3470039528/", 3470039528)</f>
        <v>3470039528</v>
      </c>
      <c r="D160" t="s">
        <v>29</v>
      </c>
      <c r="E160">
        <v>72266.37</v>
      </c>
      <c r="AX160">
        <v>10.4</v>
      </c>
      <c r="AY160">
        <v>7.55</v>
      </c>
      <c r="AZ160" t="s">
        <v>56</v>
      </c>
      <c r="BA160" t="s">
        <v>63</v>
      </c>
      <c r="BB160">
        <v>72266.37</v>
      </c>
      <c r="BC160">
        <v>72266.37</v>
      </c>
      <c r="BD160">
        <v>108283.64</v>
      </c>
      <c r="BE160">
        <v>108283.64</v>
      </c>
      <c r="BF160">
        <v>62696.77</v>
      </c>
      <c r="BG160">
        <v>23022.3</v>
      </c>
      <c r="BH160">
        <v>-33279.410000000003</v>
      </c>
      <c r="BI160">
        <v>25390.17</v>
      </c>
      <c r="BJ160">
        <v>2531.19</v>
      </c>
      <c r="BK160">
        <v>-2737.86</v>
      </c>
      <c r="BL160">
        <v>41762.86</v>
      </c>
      <c r="BM160">
        <v>15577.12</v>
      </c>
      <c r="BP160" s="3">
        <v>45596</v>
      </c>
      <c r="BQ160">
        <v>0</v>
      </c>
      <c r="BR160" s="3">
        <v>44785</v>
      </c>
      <c r="BS160" t="s">
        <v>278</v>
      </c>
    </row>
    <row r="161" spans="1:71" x14ac:dyDescent="0.25">
      <c r="A161" t="s">
        <v>277</v>
      </c>
      <c r="B161" t="s">
        <v>279</v>
      </c>
      <c r="C161" s="2">
        <f>HYPERLINK("https://szao.dolgi.msk.ru/account/3470315369/", 3470315369)</f>
        <v>3470315369</v>
      </c>
      <c r="D161" t="s">
        <v>29</v>
      </c>
      <c r="E161">
        <v>16546.04</v>
      </c>
      <c r="AX161">
        <v>4.17</v>
      </c>
      <c r="AY161">
        <v>4.33</v>
      </c>
      <c r="AZ161" t="s">
        <v>30</v>
      </c>
      <c r="BA161" t="s">
        <v>49</v>
      </c>
      <c r="BB161">
        <v>16546.04</v>
      </c>
      <c r="BC161">
        <v>16546.04</v>
      </c>
      <c r="BD161">
        <v>16546.04</v>
      </c>
      <c r="BE161">
        <v>16546.04</v>
      </c>
      <c r="BF161">
        <v>21360.240000000002</v>
      </c>
      <c r="BG161">
        <v>2092.64</v>
      </c>
      <c r="BH161">
        <v>3013.92</v>
      </c>
      <c r="BI161">
        <v>3907.06</v>
      </c>
      <c r="BJ161">
        <v>1100.32</v>
      </c>
      <c r="BK161">
        <v>3158.61</v>
      </c>
      <c r="BL161">
        <v>2682.85</v>
      </c>
      <c r="BM161">
        <v>590.64</v>
      </c>
      <c r="BN161">
        <v>4814.2</v>
      </c>
      <c r="BO161">
        <v>3820.72</v>
      </c>
      <c r="BP161" s="3">
        <v>45691</v>
      </c>
      <c r="BQ161">
        <v>8634.92</v>
      </c>
    </row>
    <row r="162" spans="1:71" x14ac:dyDescent="0.25">
      <c r="A162" t="s">
        <v>277</v>
      </c>
      <c r="B162" t="s">
        <v>280</v>
      </c>
      <c r="C162" s="2">
        <f>HYPERLINK("https://szao.dolgi.msk.ru/account/3470315174/", 3470315174)</f>
        <v>3470315174</v>
      </c>
      <c r="D162" t="s">
        <v>29</v>
      </c>
      <c r="E162">
        <v>78141.84</v>
      </c>
      <c r="AX162">
        <v>6.96</v>
      </c>
      <c r="AY162">
        <v>6.32</v>
      </c>
      <c r="AZ162" t="s">
        <v>40</v>
      </c>
      <c r="BA162" t="s">
        <v>66</v>
      </c>
      <c r="BB162">
        <v>78141.84</v>
      </c>
      <c r="BC162">
        <v>78141.84</v>
      </c>
      <c r="BD162">
        <v>79301.78</v>
      </c>
      <c r="BE162">
        <v>79301.78</v>
      </c>
      <c r="BF162">
        <v>65784.2</v>
      </c>
      <c r="BG162">
        <v>16163.87</v>
      </c>
      <c r="BH162">
        <v>5053.82</v>
      </c>
      <c r="BI162">
        <v>22004.76</v>
      </c>
      <c r="BJ162">
        <v>6057.39</v>
      </c>
      <c r="BK162">
        <v>-1159.94</v>
      </c>
      <c r="BL162">
        <v>25025.97</v>
      </c>
      <c r="BM162">
        <v>4995.97</v>
      </c>
      <c r="BP162" s="3">
        <v>45667</v>
      </c>
      <c r="BQ162">
        <v>24073.040000000001</v>
      </c>
      <c r="BR162" s="3">
        <v>45239</v>
      </c>
      <c r="BS162" t="s">
        <v>281</v>
      </c>
    </row>
    <row r="163" spans="1:71" x14ac:dyDescent="0.25">
      <c r="A163" t="s">
        <v>277</v>
      </c>
      <c r="B163" t="s">
        <v>282</v>
      </c>
      <c r="C163" s="2">
        <f>HYPERLINK("https://szao.dolgi.msk.ru/account/3470040174/", 3470040174)</f>
        <v>3470040174</v>
      </c>
      <c r="D163" t="s">
        <v>29</v>
      </c>
      <c r="E163">
        <v>60924.23</v>
      </c>
      <c r="AX163">
        <v>5.56</v>
      </c>
      <c r="AY163">
        <v>5.6</v>
      </c>
      <c r="AZ163" t="s">
        <v>69</v>
      </c>
      <c r="BA163" t="s">
        <v>49</v>
      </c>
      <c r="BB163">
        <v>60924.23</v>
      </c>
      <c r="BC163">
        <v>60924.23</v>
      </c>
      <c r="BD163">
        <v>60924.23</v>
      </c>
      <c r="BE163">
        <v>60924.23</v>
      </c>
      <c r="BF163">
        <v>50040.25</v>
      </c>
      <c r="BG163">
        <v>12349.22</v>
      </c>
      <c r="BH163">
        <v>2426.75</v>
      </c>
      <c r="BI163">
        <v>17563.419999999998</v>
      </c>
      <c r="BJ163">
        <v>4854.9799999999996</v>
      </c>
      <c r="BK163">
        <v>5621.2</v>
      </c>
      <c r="BL163">
        <v>14797.42</v>
      </c>
      <c r="BM163">
        <v>3311.24</v>
      </c>
      <c r="BP163" s="3">
        <v>45580</v>
      </c>
      <c r="BQ163">
        <v>10277.06</v>
      </c>
      <c r="BR163" s="3">
        <v>45201</v>
      </c>
      <c r="BS163" t="s">
        <v>283</v>
      </c>
    </row>
    <row r="164" spans="1:71" x14ac:dyDescent="0.25">
      <c r="A164" t="s">
        <v>277</v>
      </c>
      <c r="B164" t="s">
        <v>284</v>
      </c>
      <c r="C164" s="2">
        <f>HYPERLINK("https://szao.dolgi.msk.ru/account/3470040211/", 3470040211)</f>
        <v>3470040211</v>
      </c>
      <c r="D164" t="s">
        <v>29</v>
      </c>
      <c r="E164">
        <v>10995.61</v>
      </c>
      <c r="AX164">
        <v>2.85</v>
      </c>
      <c r="AY164">
        <v>2.37</v>
      </c>
      <c r="AZ164" t="s">
        <v>35</v>
      </c>
      <c r="BA164" t="s">
        <v>31</v>
      </c>
      <c r="BB164">
        <v>10995.61</v>
      </c>
      <c r="BC164">
        <v>10995.61</v>
      </c>
      <c r="BD164">
        <v>11702.61</v>
      </c>
      <c r="BE164">
        <v>11702.61</v>
      </c>
      <c r="BF164">
        <v>6349.46</v>
      </c>
      <c r="BG164">
        <v>5180.43</v>
      </c>
      <c r="BH164">
        <v>234.15</v>
      </c>
      <c r="BI164">
        <v>-707</v>
      </c>
      <c r="BJ164">
        <v>0</v>
      </c>
      <c r="BK164">
        <v>175.65</v>
      </c>
      <c r="BL164">
        <v>4413.05</v>
      </c>
      <c r="BM164">
        <v>1699.33</v>
      </c>
      <c r="BO164">
        <v>4394.95</v>
      </c>
      <c r="BP164" s="3">
        <v>45677</v>
      </c>
      <c r="BQ164">
        <v>4394.95</v>
      </c>
      <c r="BR164" s="3">
        <v>44915</v>
      </c>
      <c r="BS164" t="s">
        <v>285</v>
      </c>
    </row>
    <row r="165" spans="1:71" x14ac:dyDescent="0.25">
      <c r="A165" t="s">
        <v>286</v>
      </c>
      <c r="B165" t="s">
        <v>85</v>
      </c>
      <c r="C165" s="2">
        <f>HYPERLINK("https://szao.dolgi.msk.ru/account/3470053549/", 3470053549)</f>
        <v>3470053549</v>
      </c>
      <c r="D165" t="s">
        <v>29</v>
      </c>
      <c r="E165">
        <v>255.21</v>
      </c>
      <c r="AX165">
        <v>11.77</v>
      </c>
      <c r="AY165">
        <v>0.04</v>
      </c>
      <c r="AZ165" t="s">
        <v>35</v>
      </c>
      <c r="BA165" t="s">
        <v>63</v>
      </c>
      <c r="BB165">
        <v>255.21</v>
      </c>
      <c r="BC165">
        <v>255.21</v>
      </c>
      <c r="BD165">
        <v>255.21</v>
      </c>
      <c r="BE165">
        <v>255.21</v>
      </c>
      <c r="BF165">
        <v>255.21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255.21</v>
      </c>
      <c r="BO165">
        <v>6945.66</v>
      </c>
      <c r="BP165" s="3">
        <v>45694</v>
      </c>
      <c r="BQ165">
        <v>6945.66</v>
      </c>
      <c r="BR165" s="3">
        <v>45488</v>
      </c>
      <c r="BS165" t="s">
        <v>289</v>
      </c>
    </row>
    <row r="166" spans="1:71" x14ac:dyDescent="0.25">
      <c r="A166" t="s">
        <v>286</v>
      </c>
      <c r="B166" t="s">
        <v>280</v>
      </c>
      <c r="C166" s="2">
        <f>HYPERLINK("https://szao.dolgi.msk.ru/account/3470053602/", 3470053602)</f>
        <v>3470053602</v>
      </c>
      <c r="D166" t="s">
        <v>29</v>
      </c>
      <c r="E166">
        <v>39837.980000000003</v>
      </c>
      <c r="AX166">
        <v>3.64</v>
      </c>
      <c r="AY166">
        <v>3.66</v>
      </c>
      <c r="AZ166" t="s">
        <v>69</v>
      </c>
      <c r="BA166" t="s">
        <v>49</v>
      </c>
      <c r="BB166">
        <v>39837.980000000003</v>
      </c>
      <c r="BC166">
        <v>39837.980000000003</v>
      </c>
      <c r="BD166">
        <v>39983.06</v>
      </c>
      <c r="BE166">
        <v>39983.06</v>
      </c>
      <c r="BF166">
        <v>28942.98</v>
      </c>
      <c r="BG166">
        <v>16675.46</v>
      </c>
      <c r="BH166">
        <v>-83.63</v>
      </c>
      <c r="BI166">
        <v>0</v>
      </c>
      <c r="BJ166">
        <v>0</v>
      </c>
      <c r="BK166">
        <v>-61.45</v>
      </c>
      <c r="BL166">
        <v>20074</v>
      </c>
      <c r="BM166">
        <v>3233.6</v>
      </c>
      <c r="BP166" s="3">
        <v>45581</v>
      </c>
      <c r="BQ166">
        <v>28608.37</v>
      </c>
    </row>
    <row r="167" spans="1:71" x14ac:dyDescent="0.25">
      <c r="A167" t="s">
        <v>286</v>
      </c>
      <c r="B167" t="s">
        <v>42</v>
      </c>
      <c r="C167" s="2">
        <f>HYPERLINK("https://szao.dolgi.msk.ru/account/3470054066/", 3470054066)</f>
        <v>3470054066</v>
      </c>
      <c r="D167" t="s">
        <v>29</v>
      </c>
      <c r="E167">
        <v>53270.02</v>
      </c>
      <c r="AX167">
        <v>9.3699999999999992</v>
      </c>
      <c r="AY167">
        <v>7.19</v>
      </c>
      <c r="AZ167" t="s">
        <v>40</v>
      </c>
      <c r="BA167" t="s">
        <v>63</v>
      </c>
      <c r="BB167">
        <v>53270.02</v>
      </c>
      <c r="BC167">
        <v>53270.02</v>
      </c>
      <c r="BD167">
        <v>53667.28</v>
      </c>
      <c r="BE167">
        <v>53667.28</v>
      </c>
      <c r="BF167">
        <v>74843.23</v>
      </c>
      <c r="BG167">
        <v>19873.689999999999</v>
      </c>
      <c r="BH167">
        <v>1180.99</v>
      </c>
      <c r="BI167">
        <v>0</v>
      </c>
      <c r="BJ167">
        <v>0</v>
      </c>
      <c r="BK167">
        <v>-397.26</v>
      </c>
      <c r="BL167">
        <v>26120.1</v>
      </c>
      <c r="BM167">
        <v>6492.5</v>
      </c>
      <c r="BN167">
        <v>28982.46</v>
      </c>
      <c r="BP167" s="3">
        <v>45696</v>
      </c>
      <c r="BQ167">
        <v>28982.46</v>
      </c>
      <c r="BR167" s="3">
        <v>45699</v>
      </c>
      <c r="BS167" t="s">
        <v>290</v>
      </c>
    </row>
    <row r="168" spans="1:71" x14ac:dyDescent="0.25">
      <c r="A168" t="s">
        <v>291</v>
      </c>
      <c r="B168" t="s">
        <v>85</v>
      </c>
      <c r="C168" s="2">
        <f>HYPERLINK("https://szao.dolgi.msk.ru/account/3470061397/", 3470061397)</f>
        <v>3470061397</v>
      </c>
      <c r="D168" t="s">
        <v>29</v>
      </c>
      <c r="E168">
        <v>121444.03</v>
      </c>
      <c r="AX168">
        <v>15.01</v>
      </c>
      <c r="AY168">
        <v>14.13</v>
      </c>
      <c r="AZ168" t="s">
        <v>69</v>
      </c>
      <c r="BA168" t="s">
        <v>36</v>
      </c>
      <c r="BB168">
        <v>121444.03</v>
      </c>
      <c r="BC168">
        <v>121444.03</v>
      </c>
      <c r="BD168">
        <v>121444.03</v>
      </c>
      <c r="BE168">
        <v>121444.03</v>
      </c>
      <c r="BF168">
        <v>112849.94</v>
      </c>
      <c r="BG168">
        <v>12844.69</v>
      </c>
      <c r="BH168">
        <v>8439.31</v>
      </c>
      <c r="BI168">
        <v>46170.22</v>
      </c>
      <c r="BJ168">
        <v>11116.19</v>
      </c>
      <c r="BK168">
        <v>16654.53</v>
      </c>
      <c r="BL168">
        <v>21428.99</v>
      </c>
      <c r="BM168">
        <v>4790.1000000000004</v>
      </c>
      <c r="BP168" s="3">
        <v>45542</v>
      </c>
      <c r="BQ168">
        <v>41396.86</v>
      </c>
      <c r="BR168" s="3">
        <v>45520</v>
      </c>
      <c r="BS168" t="s">
        <v>292</v>
      </c>
    </row>
    <row r="169" spans="1:71" x14ac:dyDescent="0.25">
      <c r="A169" t="s">
        <v>291</v>
      </c>
      <c r="B169" t="s">
        <v>293</v>
      </c>
      <c r="C169" s="2">
        <f>HYPERLINK("https://szao.dolgi.msk.ru/account/3470061426/", 3470061426)</f>
        <v>3470061426</v>
      </c>
      <c r="D169" t="s">
        <v>29</v>
      </c>
      <c r="E169">
        <v>35393.83</v>
      </c>
      <c r="AX169">
        <v>3.4</v>
      </c>
      <c r="AY169">
        <v>3.38</v>
      </c>
      <c r="AZ169" t="s">
        <v>40</v>
      </c>
      <c r="BA169" t="s">
        <v>49</v>
      </c>
      <c r="BB169">
        <v>35393.83</v>
      </c>
      <c r="BC169">
        <v>35393.83</v>
      </c>
      <c r="BD169">
        <v>35393.83</v>
      </c>
      <c r="BE169">
        <v>35393.83</v>
      </c>
      <c r="BF169">
        <v>24926.43</v>
      </c>
      <c r="BG169">
        <v>4716.87</v>
      </c>
      <c r="BH169">
        <v>10220.120000000001</v>
      </c>
      <c r="BI169">
        <v>3872.02</v>
      </c>
      <c r="BJ169">
        <v>1090.45</v>
      </c>
      <c r="BK169">
        <v>9144.3799999999992</v>
      </c>
      <c r="BL169">
        <v>6054.04</v>
      </c>
      <c r="BM169">
        <v>295.95</v>
      </c>
      <c r="BP169" s="3">
        <v>45638</v>
      </c>
      <c r="BQ169">
        <v>2823.26</v>
      </c>
      <c r="BR169" s="3">
        <v>45481</v>
      </c>
      <c r="BS169" t="s">
        <v>294</v>
      </c>
    </row>
    <row r="170" spans="1:71" x14ac:dyDescent="0.25">
      <c r="A170" t="s">
        <v>291</v>
      </c>
      <c r="B170" t="s">
        <v>27</v>
      </c>
      <c r="C170" s="2">
        <f>HYPERLINK("https://szao.dolgi.msk.ru/account/3470061477/", 3470061477)</f>
        <v>3470061477</v>
      </c>
      <c r="D170" t="s">
        <v>29</v>
      </c>
      <c r="E170">
        <v>10964.27</v>
      </c>
      <c r="AX170">
        <v>2.77</v>
      </c>
      <c r="AY170">
        <v>2.76</v>
      </c>
      <c r="AZ170" t="s">
        <v>30</v>
      </c>
      <c r="BA170" t="s">
        <v>31</v>
      </c>
      <c r="BB170">
        <v>10964.27</v>
      </c>
      <c r="BC170">
        <v>10964.27</v>
      </c>
      <c r="BD170">
        <v>10964.27</v>
      </c>
      <c r="BE170">
        <v>10964.27</v>
      </c>
      <c r="BF170">
        <v>6995.89</v>
      </c>
      <c r="BG170">
        <v>3759.51</v>
      </c>
      <c r="BH170">
        <v>361.29</v>
      </c>
      <c r="BI170">
        <v>433.53</v>
      </c>
      <c r="BJ170">
        <v>122.09</v>
      </c>
      <c r="BK170">
        <v>371.1</v>
      </c>
      <c r="BL170">
        <v>4955.04</v>
      </c>
      <c r="BM170">
        <v>961.71</v>
      </c>
      <c r="BP170" s="3">
        <v>45608</v>
      </c>
      <c r="BQ170">
        <v>10541.33</v>
      </c>
    </row>
    <row r="171" spans="1:71" x14ac:dyDescent="0.25">
      <c r="A171" t="s">
        <v>291</v>
      </c>
      <c r="B171" t="s">
        <v>131</v>
      </c>
      <c r="C171" s="2">
        <f>HYPERLINK("https://szao.dolgi.msk.ru/account/3470061733/", 3470061733)</f>
        <v>3470061733</v>
      </c>
      <c r="D171" t="s">
        <v>29</v>
      </c>
      <c r="E171">
        <v>9728.08</v>
      </c>
      <c r="AX171">
        <v>2</v>
      </c>
      <c r="AY171">
        <v>2.0499999999999998</v>
      </c>
      <c r="AZ171" t="s">
        <v>30</v>
      </c>
      <c r="BA171" t="s">
        <v>31</v>
      </c>
      <c r="BB171">
        <v>9728.08</v>
      </c>
      <c r="BC171">
        <v>9728.08</v>
      </c>
      <c r="BD171">
        <v>9728.08</v>
      </c>
      <c r="BE171">
        <v>9728.08</v>
      </c>
      <c r="BF171">
        <v>4973.7299999999996</v>
      </c>
      <c r="BG171">
        <v>2641.76</v>
      </c>
      <c r="BH171">
        <v>777.4</v>
      </c>
      <c r="BI171">
        <v>1143.1199999999999</v>
      </c>
      <c r="BJ171">
        <v>321.93</v>
      </c>
      <c r="BK171">
        <v>872.29</v>
      </c>
      <c r="BL171">
        <v>3326.04</v>
      </c>
      <c r="BM171">
        <v>645.54</v>
      </c>
      <c r="BP171" s="3">
        <v>45639</v>
      </c>
      <c r="BQ171">
        <v>7333.41</v>
      </c>
    </row>
    <row r="172" spans="1:71" x14ac:dyDescent="0.25">
      <c r="A172" t="s">
        <v>295</v>
      </c>
      <c r="B172" t="s">
        <v>296</v>
      </c>
      <c r="C172" s="2">
        <f>HYPERLINK("https://szao.dolgi.msk.ru/account/3470069356/", 3470069356)</f>
        <v>3470069356</v>
      </c>
      <c r="D172" t="s">
        <v>29</v>
      </c>
      <c r="E172">
        <v>214909.53</v>
      </c>
      <c r="AX172">
        <v>8.67</v>
      </c>
      <c r="AY172">
        <v>8.4</v>
      </c>
      <c r="AZ172" t="s">
        <v>40</v>
      </c>
      <c r="BA172" t="s">
        <v>66</v>
      </c>
      <c r="BB172">
        <v>214909.53</v>
      </c>
      <c r="BC172">
        <v>214909.53</v>
      </c>
      <c r="BD172">
        <v>214909.53</v>
      </c>
      <c r="BE172">
        <v>214909.53</v>
      </c>
      <c r="BF172">
        <v>189310.32</v>
      </c>
      <c r="BG172">
        <v>36381.56</v>
      </c>
      <c r="BH172">
        <v>77293.350000000006</v>
      </c>
      <c r="BI172">
        <v>0</v>
      </c>
      <c r="BJ172">
        <v>0</v>
      </c>
      <c r="BK172">
        <v>59843.91</v>
      </c>
      <c r="BL172">
        <v>33837.51</v>
      </c>
      <c r="BM172">
        <v>7553.2</v>
      </c>
      <c r="BP172" s="3">
        <v>45615</v>
      </c>
      <c r="BQ172">
        <v>25021.79</v>
      </c>
      <c r="BR172" s="3">
        <v>45631</v>
      </c>
      <c r="BS172" t="s">
        <v>297</v>
      </c>
    </row>
    <row r="173" spans="1:71" x14ac:dyDescent="0.25">
      <c r="A173" t="s">
        <v>295</v>
      </c>
      <c r="B173" t="s">
        <v>298</v>
      </c>
      <c r="C173" s="2">
        <f>HYPERLINK("https://szao.dolgi.msk.ru/account/3470294174/", 3470294174)</f>
        <v>3470294174</v>
      </c>
      <c r="D173" t="s">
        <v>29</v>
      </c>
      <c r="E173">
        <v>19302.099999999999</v>
      </c>
      <c r="AX173">
        <v>2.17</v>
      </c>
      <c r="AY173">
        <v>2.19</v>
      </c>
      <c r="AZ173" t="s">
        <v>40</v>
      </c>
      <c r="BA173" t="s">
        <v>31</v>
      </c>
      <c r="BB173">
        <v>19302.099999999999</v>
      </c>
      <c r="BC173">
        <v>19302.099999999999</v>
      </c>
      <c r="BD173">
        <v>21656.83</v>
      </c>
      <c r="BE173">
        <v>21656.83</v>
      </c>
      <c r="BF173">
        <v>10490.38</v>
      </c>
      <c r="BG173">
        <v>6917.83</v>
      </c>
      <c r="BH173">
        <v>-1397.54</v>
      </c>
      <c r="BI173">
        <v>0</v>
      </c>
      <c r="BJ173">
        <v>0</v>
      </c>
      <c r="BK173">
        <v>-957.19</v>
      </c>
      <c r="BL173">
        <v>12554.07</v>
      </c>
      <c r="BM173">
        <v>2184.9299999999998</v>
      </c>
      <c r="BP173" s="3">
        <v>45645</v>
      </c>
      <c r="BQ173">
        <v>7971.74</v>
      </c>
    </row>
    <row r="174" spans="1:71" x14ac:dyDescent="0.25">
      <c r="A174" t="s">
        <v>295</v>
      </c>
      <c r="B174" t="s">
        <v>299</v>
      </c>
      <c r="C174" s="2">
        <f>HYPERLINK("https://szao.dolgi.msk.ru/account/3470068695/", 3470068695)</f>
        <v>3470068695</v>
      </c>
      <c r="D174" t="s">
        <v>29</v>
      </c>
      <c r="E174">
        <v>28567.89</v>
      </c>
      <c r="AX174">
        <v>2.78</v>
      </c>
      <c r="AY174">
        <v>2.8</v>
      </c>
      <c r="AZ174" t="s">
        <v>30</v>
      </c>
      <c r="BA174" t="s">
        <v>31</v>
      </c>
      <c r="BB174">
        <v>28567.89</v>
      </c>
      <c r="BC174">
        <v>28567.89</v>
      </c>
      <c r="BD174">
        <v>28567.89</v>
      </c>
      <c r="BE174">
        <v>28567.89</v>
      </c>
      <c r="BF174">
        <v>36702.239999999998</v>
      </c>
      <c r="BG174">
        <v>11121.3</v>
      </c>
      <c r="BH174">
        <v>1768.89</v>
      </c>
      <c r="BI174">
        <v>0</v>
      </c>
      <c r="BJ174">
        <v>0</v>
      </c>
      <c r="BK174">
        <v>1358.01</v>
      </c>
      <c r="BL174">
        <v>12213.6</v>
      </c>
      <c r="BM174">
        <v>2106.09</v>
      </c>
      <c r="BN174">
        <v>18351.12</v>
      </c>
      <c r="BP174" s="3">
        <v>45694</v>
      </c>
      <c r="BQ174">
        <v>9175.56</v>
      </c>
      <c r="BR174" s="3">
        <v>45589</v>
      </c>
      <c r="BS174" t="s">
        <v>300</v>
      </c>
    </row>
    <row r="175" spans="1:71" x14ac:dyDescent="0.25">
      <c r="A175" t="s">
        <v>301</v>
      </c>
      <c r="B175" t="s">
        <v>302</v>
      </c>
      <c r="C175" s="2">
        <f>HYPERLINK("https://szao.dolgi.msk.ru/account/3470070648/", 3470070648)</f>
        <v>3470070648</v>
      </c>
      <c r="D175" t="s">
        <v>29</v>
      </c>
      <c r="E175">
        <v>31578.31</v>
      </c>
      <c r="AX175">
        <v>3.77</v>
      </c>
      <c r="AY175">
        <v>3.81</v>
      </c>
      <c r="AZ175" t="s">
        <v>40</v>
      </c>
      <c r="BA175" t="s">
        <v>49</v>
      </c>
      <c r="BB175">
        <v>31578.31</v>
      </c>
      <c r="BC175">
        <v>31578.31</v>
      </c>
      <c r="BD175">
        <v>31578.31</v>
      </c>
      <c r="BE175">
        <v>31578.31</v>
      </c>
      <c r="BF175">
        <v>23293.83</v>
      </c>
      <c r="BG175">
        <v>7225.31</v>
      </c>
      <c r="BH175">
        <v>7075.52</v>
      </c>
      <c r="BI175">
        <v>0</v>
      </c>
      <c r="BJ175">
        <v>0</v>
      </c>
      <c r="BK175">
        <v>5432.08</v>
      </c>
      <c r="BL175">
        <v>9952.7999999999993</v>
      </c>
      <c r="BM175">
        <v>1892.6</v>
      </c>
      <c r="BN175">
        <v>7764.61</v>
      </c>
      <c r="BP175" s="3">
        <v>45677</v>
      </c>
      <c r="BQ175">
        <v>7764.61</v>
      </c>
      <c r="BR175" s="3">
        <v>45510</v>
      </c>
      <c r="BS175" t="s">
        <v>303</v>
      </c>
    </row>
    <row r="176" spans="1:71" x14ac:dyDescent="0.25">
      <c r="A176" t="s">
        <v>301</v>
      </c>
      <c r="B176" t="s">
        <v>304</v>
      </c>
      <c r="C176" s="2">
        <f>HYPERLINK("https://szao.dolgi.msk.ru/account/3470293614/", 3470293614)</f>
        <v>3470293614</v>
      </c>
      <c r="D176" t="s">
        <v>29</v>
      </c>
      <c r="E176">
        <v>20754.080000000002</v>
      </c>
      <c r="AX176">
        <v>3.7</v>
      </c>
      <c r="AY176">
        <v>3.66</v>
      </c>
      <c r="AZ176" t="s">
        <v>40</v>
      </c>
      <c r="BA176" t="s">
        <v>49</v>
      </c>
      <c r="BB176">
        <v>20754.080000000002</v>
      </c>
      <c r="BC176">
        <v>20754.080000000002</v>
      </c>
      <c r="BD176">
        <v>20754.080000000002</v>
      </c>
      <c r="BE176">
        <v>20754.080000000002</v>
      </c>
      <c r="BF176">
        <v>15077.3</v>
      </c>
      <c r="BG176">
        <v>6429.96</v>
      </c>
      <c r="BH176">
        <v>4218.53</v>
      </c>
      <c r="BI176">
        <v>0</v>
      </c>
      <c r="BJ176">
        <v>0</v>
      </c>
      <c r="BK176">
        <v>3239.71</v>
      </c>
      <c r="BL176">
        <v>5181.6000000000004</v>
      </c>
      <c r="BM176">
        <v>1684.28</v>
      </c>
      <c r="BN176">
        <v>4865.3</v>
      </c>
      <c r="BP176" s="3">
        <v>45679</v>
      </c>
      <c r="BQ176">
        <v>4865.3</v>
      </c>
      <c r="BR176" s="3">
        <v>44897</v>
      </c>
      <c r="BS176" t="s">
        <v>305</v>
      </c>
    </row>
    <row r="177" spans="1:71" x14ac:dyDescent="0.25">
      <c r="A177" t="s">
        <v>306</v>
      </c>
      <c r="B177" t="s">
        <v>247</v>
      </c>
      <c r="C177" s="2">
        <f>HYPERLINK("https://szao.dolgi.msk.ru/account/3470325065/", 3470325065)</f>
        <v>3470325065</v>
      </c>
      <c r="D177" t="s">
        <v>29</v>
      </c>
      <c r="E177">
        <v>77003.06</v>
      </c>
      <c r="AX177">
        <v>5.52</v>
      </c>
      <c r="AY177">
        <v>5.51</v>
      </c>
      <c r="AZ177" t="s">
        <v>69</v>
      </c>
      <c r="BA177" t="s">
        <v>49</v>
      </c>
      <c r="BB177">
        <v>77003.06</v>
      </c>
      <c r="BC177">
        <v>77003.06</v>
      </c>
      <c r="BD177">
        <v>77003.06</v>
      </c>
      <c r="BE177">
        <v>77003.06</v>
      </c>
      <c r="BF177">
        <v>61156.14</v>
      </c>
      <c r="BG177">
        <v>16567.740000000002</v>
      </c>
      <c r="BH177">
        <v>7964.58</v>
      </c>
      <c r="BI177">
        <v>17221.03</v>
      </c>
      <c r="BJ177">
        <v>4763.96</v>
      </c>
      <c r="BK177">
        <v>9813.15</v>
      </c>
      <c r="BL177">
        <v>17344.95</v>
      </c>
      <c r="BM177">
        <v>3327.65</v>
      </c>
      <c r="BP177" s="3">
        <v>45580</v>
      </c>
      <c r="BQ177">
        <v>50637.53</v>
      </c>
    </row>
    <row r="178" spans="1:71" x14ac:dyDescent="0.25">
      <c r="A178" t="s">
        <v>306</v>
      </c>
      <c r="B178" t="s">
        <v>88</v>
      </c>
      <c r="C178" s="2">
        <f>HYPERLINK("https://szao.dolgi.msk.ru/account/3470325129/", 3470325129)</f>
        <v>3470325129</v>
      </c>
      <c r="D178" t="s">
        <v>29</v>
      </c>
      <c r="E178">
        <v>365937.29</v>
      </c>
      <c r="AX178">
        <v>25.26</v>
      </c>
      <c r="AY178">
        <v>23.02</v>
      </c>
      <c r="AZ178" t="s">
        <v>56</v>
      </c>
      <c r="BA178" t="s">
        <v>36</v>
      </c>
      <c r="BB178">
        <v>365937.29</v>
      </c>
      <c r="BC178">
        <v>365937.29</v>
      </c>
      <c r="BD178">
        <v>365937.29</v>
      </c>
      <c r="BE178">
        <v>365937.29</v>
      </c>
      <c r="BF178">
        <v>346469.55</v>
      </c>
      <c r="BG178">
        <v>38259.97</v>
      </c>
      <c r="BH178">
        <v>58746.05</v>
      </c>
      <c r="BI178">
        <v>120482.91</v>
      </c>
      <c r="BJ178">
        <v>40855.26</v>
      </c>
      <c r="BK178">
        <v>70137.279999999999</v>
      </c>
      <c r="BL178">
        <v>30393.77</v>
      </c>
      <c r="BM178">
        <v>7062.05</v>
      </c>
      <c r="BP178" s="3">
        <v>45596</v>
      </c>
      <c r="BQ178">
        <v>0</v>
      </c>
      <c r="BR178" s="3">
        <v>45670</v>
      </c>
      <c r="BS178" t="s">
        <v>307</v>
      </c>
    </row>
    <row r="179" spans="1:71" x14ac:dyDescent="0.25">
      <c r="A179" t="s">
        <v>308</v>
      </c>
      <c r="B179" t="s">
        <v>309</v>
      </c>
      <c r="C179" s="2">
        <f>HYPERLINK("https://szao.dolgi.msk.ru/account/3470074681/", 3470074681)</f>
        <v>3470074681</v>
      </c>
      <c r="D179" t="s">
        <v>29</v>
      </c>
      <c r="E179">
        <v>12862.69</v>
      </c>
      <c r="AX179">
        <v>3.02</v>
      </c>
      <c r="AY179">
        <v>2.97</v>
      </c>
      <c r="AZ179" t="s">
        <v>30</v>
      </c>
      <c r="BA179" t="s">
        <v>49</v>
      </c>
      <c r="BB179">
        <v>12862.69</v>
      </c>
      <c r="BC179">
        <v>12862.69</v>
      </c>
      <c r="BD179">
        <v>12862.69</v>
      </c>
      <c r="BE179">
        <v>12862.69</v>
      </c>
      <c r="BF179">
        <v>8538.2800000000007</v>
      </c>
      <c r="BG179">
        <v>6669.53</v>
      </c>
      <c r="BH179">
        <v>1062.92</v>
      </c>
      <c r="BI179">
        <v>0</v>
      </c>
      <c r="BJ179">
        <v>0</v>
      </c>
      <c r="BK179">
        <v>815.99</v>
      </c>
      <c r="BL179">
        <v>3663.64</v>
      </c>
      <c r="BM179">
        <v>650.61</v>
      </c>
      <c r="BN179">
        <v>3567.71</v>
      </c>
      <c r="BO179">
        <v>4324.41</v>
      </c>
      <c r="BP179" s="3">
        <v>45684</v>
      </c>
      <c r="BQ179">
        <v>4324.41</v>
      </c>
      <c r="BR179" s="3">
        <v>45631</v>
      </c>
      <c r="BS179" t="s">
        <v>310</v>
      </c>
    </row>
    <row r="180" spans="1:71" x14ac:dyDescent="0.25">
      <c r="A180" t="s">
        <v>308</v>
      </c>
      <c r="B180" t="s">
        <v>311</v>
      </c>
      <c r="C180" s="2">
        <f>HYPERLINK("https://szao.dolgi.msk.ru/account/3470294908/", 3470294908)</f>
        <v>3470294908</v>
      </c>
      <c r="D180" t="s">
        <v>29</v>
      </c>
      <c r="E180">
        <v>113410.93</v>
      </c>
      <c r="AX180">
        <v>18.600000000000001</v>
      </c>
      <c r="AY180">
        <v>17.89</v>
      </c>
      <c r="AZ180" t="s">
        <v>30</v>
      </c>
      <c r="BA180" t="s">
        <v>36</v>
      </c>
      <c r="BB180">
        <v>113410.93</v>
      </c>
      <c r="BC180">
        <v>113410.93</v>
      </c>
      <c r="BD180">
        <v>113410.93</v>
      </c>
      <c r="BE180">
        <v>113410.93</v>
      </c>
      <c r="BF180">
        <v>107072.66</v>
      </c>
      <c r="BG180">
        <v>46263.11</v>
      </c>
      <c r="BH180">
        <v>2860.69</v>
      </c>
      <c r="BI180">
        <v>0</v>
      </c>
      <c r="BJ180">
        <v>0</v>
      </c>
      <c r="BK180">
        <v>2204.7800000000002</v>
      </c>
      <c r="BL180">
        <v>51828.73</v>
      </c>
      <c r="BM180">
        <v>10253.620000000001</v>
      </c>
      <c r="BP180" s="3">
        <v>45618</v>
      </c>
      <c r="BQ180">
        <v>11073.54</v>
      </c>
    </row>
    <row r="181" spans="1:71" x14ac:dyDescent="0.25">
      <c r="A181" t="s">
        <v>308</v>
      </c>
      <c r="B181" t="s">
        <v>105</v>
      </c>
      <c r="C181" s="2">
        <f>HYPERLINK("https://szao.dolgi.msk.ru/account/3470074833/", 3470074833)</f>
        <v>3470074833</v>
      </c>
      <c r="D181" t="s">
        <v>29</v>
      </c>
      <c r="E181">
        <v>36401.32</v>
      </c>
      <c r="AX181">
        <v>5.14</v>
      </c>
      <c r="AY181">
        <v>5.08</v>
      </c>
      <c r="AZ181" t="s">
        <v>45</v>
      </c>
      <c r="BA181" t="s">
        <v>49</v>
      </c>
      <c r="BB181">
        <v>36401.32</v>
      </c>
      <c r="BC181">
        <v>36401.32</v>
      </c>
      <c r="BD181">
        <v>36401.32</v>
      </c>
      <c r="BE181">
        <v>36401.32</v>
      </c>
      <c r="BF181">
        <v>29232.2</v>
      </c>
      <c r="BG181">
        <v>20724.28</v>
      </c>
      <c r="BH181">
        <v>1768.92</v>
      </c>
      <c r="BI181">
        <v>0</v>
      </c>
      <c r="BJ181">
        <v>0</v>
      </c>
      <c r="BK181">
        <v>1357.98</v>
      </c>
      <c r="BL181">
        <v>10657.56</v>
      </c>
      <c r="BM181">
        <v>1892.58</v>
      </c>
      <c r="BP181" s="3">
        <v>45492</v>
      </c>
      <c r="BQ181">
        <v>31968.639999999999</v>
      </c>
      <c r="BR181" s="3">
        <v>45510</v>
      </c>
      <c r="BS181" t="s">
        <v>312</v>
      </c>
    </row>
    <row r="182" spans="1:71" x14ac:dyDescent="0.25">
      <c r="A182" t="s">
        <v>308</v>
      </c>
      <c r="B182" t="s">
        <v>313</v>
      </c>
      <c r="C182" s="2">
        <f>HYPERLINK("https://szao.dolgi.msk.ru/account/3470075107/", 3470075107)</f>
        <v>3470075107</v>
      </c>
      <c r="D182" t="s">
        <v>29</v>
      </c>
      <c r="E182">
        <v>42205.73</v>
      </c>
      <c r="AX182">
        <v>5.28</v>
      </c>
      <c r="AY182">
        <v>4.54</v>
      </c>
      <c r="AZ182" t="s">
        <v>40</v>
      </c>
      <c r="BA182" t="s">
        <v>49</v>
      </c>
      <c r="BB182">
        <v>42205.73</v>
      </c>
      <c r="BC182">
        <v>42205.73</v>
      </c>
      <c r="BD182">
        <v>42205.73</v>
      </c>
      <c r="BE182">
        <v>42205.73</v>
      </c>
      <c r="BF182">
        <v>32900.089999999997</v>
      </c>
      <c r="BG182">
        <v>9144.32</v>
      </c>
      <c r="BH182">
        <v>8100.05</v>
      </c>
      <c r="BI182">
        <v>0</v>
      </c>
      <c r="BJ182">
        <v>0</v>
      </c>
      <c r="BK182">
        <v>9110.34</v>
      </c>
      <c r="BL182">
        <v>11850.52</v>
      </c>
      <c r="BM182">
        <v>4000.5</v>
      </c>
      <c r="BO182">
        <v>9305.64</v>
      </c>
      <c r="BP182" s="3">
        <v>45674</v>
      </c>
      <c r="BQ182">
        <v>9305.64</v>
      </c>
      <c r="BR182" s="3">
        <v>45637</v>
      </c>
      <c r="BS182" t="s">
        <v>314</v>
      </c>
    </row>
    <row r="183" spans="1:71" x14ac:dyDescent="0.25">
      <c r="A183" t="s">
        <v>308</v>
      </c>
      <c r="B183" t="s">
        <v>238</v>
      </c>
      <c r="C183" s="2">
        <f>HYPERLINK("https://szao.dolgi.msk.ru/account/3470075246/", 3470075246)</f>
        <v>3470075246</v>
      </c>
      <c r="D183" t="s">
        <v>29</v>
      </c>
      <c r="E183">
        <v>20385.55</v>
      </c>
      <c r="AX183">
        <v>2.58</v>
      </c>
      <c r="AY183">
        <v>2.5299999999999998</v>
      </c>
      <c r="AZ183" t="s">
        <v>69</v>
      </c>
      <c r="BA183" t="s">
        <v>31</v>
      </c>
      <c r="BB183">
        <v>20385.55</v>
      </c>
      <c r="BC183">
        <v>20385.55</v>
      </c>
      <c r="BD183">
        <v>20385.55</v>
      </c>
      <c r="BE183">
        <v>20385.55</v>
      </c>
      <c r="BF183">
        <v>12312.2</v>
      </c>
      <c r="BG183">
        <v>8049.7</v>
      </c>
      <c r="BH183">
        <v>1794</v>
      </c>
      <c r="BI183">
        <v>0</v>
      </c>
      <c r="BJ183">
        <v>0</v>
      </c>
      <c r="BK183">
        <v>1377.3</v>
      </c>
      <c r="BL183">
        <v>7782.51</v>
      </c>
      <c r="BM183">
        <v>1382.04</v>
      </c>
      <c r="BP183" s="3">
        <v>45581</v>
      </c>
      <c r="BQ183">
        <v>12417.91</v>
      </c>
    </row>
    <row r="184" spans="1:71" x14ac:dyDescent="0.25">
      <c r="A184" t="s">
        <v>308</v>
      </c>
      <c r="B184" t="s">
        <v>315</v>
      </c>
      <c r="C184" s="2">
        <f>HYPERLINK("https://szao.dolgi.msk.ru/account/3470075473/", 3470075473)</f>
        <v>3470075473</v>
      </c>
      <c r="D184" t="s">
        <v>29</v>
      </c>
      <c r="E184">
        <v>84765.64</v>
      </c>
      <c r="AX184">
        <v>7.22</v>
      </c>
      <c r="AY184">
        <v>7.18</v>
      </c>
      <c r="AZ184" t="s">
        <v>45</v>
      </c>
      <c r="BA184" t="s">
        <v>66</v>
      </c>
      <c r="BB184">
        <v>84765.64</v>
      </c>
      <c r="BC184">
        <v>84765.64</v>
      </c>
      <c r="BD184">
        <v>84765.64</v>
      </c>
      <c r="BE184">
        <v>84765.64</v>
      </c>
      <c r="BF184">
        <v>72958.759999999995</v>
      </c>
      <c r="BG184">
        <v>27161.63</v>
      </c>
      <c r="BH184">
        <v>15898.46</v>
      </c>
      <c r="BI184">
        <v>0</v>
      </c>
      <c r="BJ184">
        <v>0</v>
      </c>
      <c r="BK184">
        <v>12237.57</v>
      </c>
      <c r="BL184">
        <v>24384.23</v>
      </c>
      <c r="BM184">
        <v>5083.75</v>
      </c>
      <c r="BP184" s="3">
        <v>45425</v>
      </c>
      <c r="BQ184">
        <v>9514.6299999999992</v>
      </c>
      <c r="BR184" s="3">
        <v>45699</v>
      </c>
      <c r="BS184" t="s">
        <v>316</v>
      </c>
    </row>
    <row r="185" spans="1:71" x14ac:dyDescent="0.25">
      <c r="A185" t="s">
        <v>308</v>
      </c>
      <c r="B185" t="s">
        <v>317</v>
      </c>
      <c r="C185" s="2">
        <f>HYPERLINK("https://szao.dolgi.msk.ru/account/3470073996/", 3470073996)</f>
        <v>3470073996</v>
      </c>
      <c r="D185" t="s">
        <v>29</v>
      </c>
      <c r="E185">
        <v>18137</v>
      </c>
      <c r="AX185">
        <v>2.29</v>
      </c>
      <c r="AY185">
        <v>2.4500000000000002</v>
      </c>
      <c r="AZ185" t="s">
        <v>35</v>
      </c>
      <c r="BA185" t="s">
        <v>31</v>
      </c>
      <c r="BB185">
        <v>18137</v>
      </c>
      <c r="BC185">
        <v>18137</v>
      </c>
      <c r="BD185">
        <v>18137</v>
      </c>
      <c r="BE185">
        <v>18137</v>
      </c>
      <c r="BF185">
        <v>10739.75</v>
      </c>
      <c r="BG185">
        <v>5806.18</v>
      </c>
      <c r="BH185">
        <v>3447.73</v>
      </c>
      <c r="BI185">
        <v>0</v>
      </c>
      <c r="BJ185">
        <v>0</v>
      </c>
      <c r="BK185">
        <v>2646.91</v>
      </c>
      <c r="BL185">
        <v>5295.74</v>
      </c>
      <c r="BM185">
        <v>940.44</v>
      </c>
      <c r="BP185" s="3">
        <v>45666</v>
      </c>
      <c r="BQ185">
        <v>10739.75</v>
      </c>
    </row>
    <row r="186" spans="1:71" x14ac:dyDescent="0.25">
      <c r="A186" t="s">
        <v>318</v>
      </c>
      <c r="B186" t="s">
        <v>319</v>
      </c>
      <c r="C186" s="2">
        <f>HYPERLINK("https://szao.dolgi.msk.ru/account/3470294545/", 3470294545)</f>
        <v>3470294545</v>
      </c>
      <c r="D186" t="s">
        <v>29</v>
      </c>
      <c r="E186">
        <v>10853.93</v>
      </c>
      <c r="AX186">
        <v>5.88</v>
      </c>
      <c r="AY186">
        <v>6.05</v>
      </c>
      <c r="AZ186" t="s">
        <v>45</v>
      </c>
      <c r="BA186" t="s">
        <v>49</v>
      </c>
      <c r="BB186">
        <v>10853.93</v>
      </c>
      <c r="BC186">
        <v>10853.93</v>
      </c>
      <c r="BD186">
        <v>10853.93</v>
      </c>
      <c r="BE186">
        <v>10853.93</v>
      </c>
      <c r="BF186">
        <v>9059.69</v>
      </c>
      <c r="BG186">
        <v>3056.83</v>
      </c>
      <c r="BH186">
        <v>1176.08</v>
      </c>
      <c r="BI186">
        <v>0</v>
      </c>
      <c r="BJ186">
        <v>0</v>
      </c>
      <c r="BK186">
        <v>902.9</v>
      </c>
      <c r="BL186">
        <v>4964.1000000000004</v>
      </c>
      <c r="BM186">
        <v>754.02</v>
      </c>
      <c r="BP186" s="3">
        <v>45490</v>
      </c>
      <c r="BQ186">
        <v>2096.5700000000002</v>
      </c>
    </row>
    <row r="187" spans="1:71" x14ac:dyDescent="0.25">
      <c r="A187" t="s">
        <v>318</v>
      </c>
      <c r="B187" t="s">
        <v>319</v>
      </c>
      <c r="C187" s="2">
        <f>HYPERLINK("https://szao.dolgi.msk.ru/account/3470294553/", 3470294553)</f>
        <v>3470294553</v>
      </c>
      <c r="D187" t="s">
        <v>29</v>
      </c>
      <c r="E187">
        <v>4006.37</v>
      </c>
      <c r="AX187">
        <v>2.31</v>
      </c>
      <c r="AY187">
        <v>1.59</v>
      </c>
      <c r="AZ187" t="s">
        <v>69</v>
      </c>
      <c r="BA187" t="s">
        <v>31</v>
      </c>
      <c r="BB187">
        <v>4006.37</v>
      </c>
      <c r="BC187">
        <v>4006.37</v>
      </c>
      <c r="BD187">
        <v>6846.25</v>
      </c>
      <c r="BE187">
        <v>6846.25</v>
      </c>
      <c r="BF187">
        <v>1494.37</v>
      </c>
      <c r="BG187">
        <v>-2839.88</v>
      </c>
      <c r="BH187">
        <v>680.22</v>
      </c>
      <c r="BI187">
        <v>0</v>
      </c>
      <c r="BJ187">
        <v>0</v>
      </c>
      <c r="BK187">
        <v>525.52</v>
      </c>
      <c r="BL187">
        <v>4915.79</v>
      </c>
      <c r="BM187">
        <v>724.72</v>
      </c>
      <c r="BP187" s="3">
        <v>45574</v>
      </c>
      <c r="BQ187">
        <v>5905.71</v>
      </c>
      <c r="BR187" s="3">
        <v>45492</v>
      </c>
      <c r="BS187" t="s">
        <v>320</v>
      </c>
    </row>
    <row r="188" spans="1:71" x14ac:dyDescent="0.25">
      <c r="A188" t="s">
        <v>318</v>
      </c>
      <c r="B188" t="s">
        <v>321</v>
      </c>
      <c r="C188" s="2">
        <f>HYPERLINK("https://szao.dolgi.msk.ru/account/3470076775/", 3470076775)</f>
        <v>3470076775</v>
      </c>
      <c r="D188" t="s">
        <v>29</v>
      </c>
      <c r="E188">
        <v>24396.94</v>
      </c>
      <c r="AX188">
        <v>3.87</v>
      </c>
      <c r="AY188">
        <v>3.91</v>
      </c>
      <c r="AZ188" t="s">
        <v>30</v>
      </c>
      <c r="BA188" t="s">
        <v>49</v>
      </c>
      <c r="BB188">
        <v>24396.94</v>
      </c>
      <c r="BC188">
        <v>24396.94</v>
      </c>
      <c r="BD188">
        <v>24406.94</v>
      </c>
      <c r="BE188">
        <v>24406.94</v>
      </c>
      <c r="BF188">
        <v>18158.66</v>
      </c>
      <c r="BG188">
        <v>4026.19</v>
      </c>
      <c r="BH188">
        <v>7397.45</v>
      </c>
      <c r="BI188">
        <v>0</v>
      </c>
      <c r="BJ188">
        <v>-10</v>
      </c>
      <c r="BK188">
        <v>5684.74</v>
      </c>
      <c r="BL188">
        <v>6336.12</v>
      </c>
      <c r="BM188">
        <v>962.44</v>
      </c>
      <c r="BP188" s="3">
        <v>45629</v>
      </c>
      <c r="BQ188">
        <v>11731.95</v>
      </c>
    </row>
    <row r="189" spans="1:71" x14ac:dyDescent="0.25">
      <c r="A189" t="s">
        <v>318</v>
      </c>
      <c r="B189" t="s">
        <v>322</v>
      </c>
      <c r="C189" s="2">
        <f>HYPERLINK("https://szao.dolgi.msk.ru/account/3470076839/", 3470076839)</f>
        <v>3470076839</v>
      </c>
      <c r="D189" t="s">
        <v>29</v>
      </c>
      <c r="E189">
        <v>15719.37</v>
      </c>
      <c r="AX189">
        <v>2.79</v>
      </c>
      <c r="AY189">
        <v>2.8</v>
      </c>
      <c r="AZ189" t="s">
        <v>30</v>
      </c>
      <c r="BA189" t="s">
        <v>31</v>
      </c>
      <c r="BB189">
        <v>15719.37</v>
      </c>
      <c r="BC189">
        <v>15719.37</v>
      </c>
      <c r="BD189">
        <v>15719.37</v>
      </c>
      <c r="BE189">
        <v>15719.37</v>
      </c>
      <c r="BF189">
        <v>10114.34</v>
      </c>
      <c r="BG189">
        <v>4565.16</v>
      </c>
      <c r="BH189">
        <v>1768.89</v>
      </c>
      <c r="BI189">
        <v>0</v>
      </c>
      <c r="BJ189">
        <v>0</v>
      </c>
      <c r="BK189">
        <v>1358.01</v>
      </c>
      <c r="BL189">
        <v>6968.76</v>
      </c>
      <c r="BM189">
        <v>1058.55</v>
      </c>
      <c r="BP189" s="3">
        <v>45601</v>
      </c>
      <c r="BQ189">
        <v>10114.34</v>
      </c>
    </row>
    <row r="190" spans="1:71" x14ac:dyDescent="0.25">
      <c r="A190" t="s">
        <v>318</v>
      </c>
      <c r="B190" t="s">
        <v>323</v>
      </c>
      <c r="C190" s="2">
        <f>HYPERLINK("https://szao.dolgi.msk.ru/account/3470077014/", 3470077014)</f>
        <v>3470077014</v>
      </c>
      <c r="D190" t="s">
        <v>29</v>
      </c>
      <c r="E190">
        <v>47588.86</v>
      </c>
      <c r="AX190">
        <v>8.64</v>
      </c>
      <c r="AY190">
        <v>7.65</v>
      </c>
      <c r="AZ190" t="s">
        <v>45</v>
      </c>
      <c r="BA190" t="s">
        <v>66</v>
      </c>
      <c r="BB190">
        <v>47588.86</v>
      </c>
      <c r="BC190">
        <v>47588.86</v>
      </c>
      <c r="BD190">
        <v>47588.86</v>
      </c>
      <c r="BE190">
        <v>47588.86</v>
      </c>
      <c r="BF190">
        <v>41369.550000000003</v>
      </c>
      <c r="BG190">
        <v>7363.2</v>
      </c>
      <c r="BH190">
        <v>13789.43</v>
      </c>
      <c r="BI190">
        <v>0</v>
      </c>
      <c r="BJ190">
        <v>0</v>
      </c>
      <c r="BK190">
        <v>10626.62</v>
      </c>
      <c r="BL190">
        <v>12445.87</v>
      </c>
      <c r="BM190">
        <v>3363.74</v>
      </c>
      <c r="BN190">
        <v>254.76</v>
      </c>
      <c r="BP190" s="3">
        <v>45683</v>
      </c>
      <c r="BQ190">
        <v>254.76</v>
      </c>
      <c r="BR190" s="3">
        <v>45588</v>
      </c>
      <c r="BS190" t="s">
        <v>324</v>
      </c>
    </row>
    <row r="191" spans="1:71" x14ac:dyDescent="0.25">
      <c r="A191" t="s">
        <v>318</v>
      </c>
      <c r="B191" t="s">
        <v>325</v>
      </c>
      <c r="C191" s="2">
        <f>HYPERLINK("https://szao.dolgi.msk.ru/account/3470616655/", 3470616655)</f>
        <v>3470616655</v>
      </c>
      <c r="D191" t="s">
        <v>29</v>
      </c>
      <c r="E191">
        <v>10419.67</v>
      </c>
      <c r="AX191">
        <v>4.53</v>
      </c>
      <c r="AY191">
        <v>4.5199999999999996</v>
      </c>
      <c r="AZ191" t="s">
        <v>69</v>
      </c>
      <c r="BA191" t="s">
        <v>49</v>
      </c>
      <c r="BB191">
        <v>10419.67</v>
      </c>
      <c r="BC191">
        <v>10419.67</v>
      </c>
      <c r="BD191">
        <v>10419.67</v>
      </c>
      <c r="BE191">
        <v>10419.67</v>
      </c>
      <c r="BF191">
        <v>0</v>
      </c>
      <c r="BG191">
        <v>3659.82</v>
      </c>
      <c r="BH191">
        <v>0</v>
      </c>
      <c r="BI191">
        <v>0</v>
      </c>
      <c r="BJ191">
        <v>0</v>
      </c>
      <c r="BK191">
        <v>0</v>
      </c>
      <c r="BL191">
        <v>5868.45</v>
      </c>
      <c r="BM191">
        <v>891.4</v>
      </c>
    </row>
    <row r="192" spans="1:71" x14ac:dyDescent="0.25">
      <c r="A192" t="s">
        <v>326</v>
      </c>
      <c r="B192" t="s">
        <v>75</v>
      </c>
      <c r="C192" s="2">
        <f>HYPERLINK("https://szao.dolgi.msk.ru/account/3470331852/", 3470331852)</f>
        <v>3470331852</v>
      </c>
      <c r="D192" t="s">
        <v>29</v>
      </c>
      <c r="E192">
        <v>12919.73</v>
      </c>
      <c r="AX192">
        <v>2.56</v>
      </c>
      <c r="AY192">
        <v>2.46</v>
      </c>
      <c r="AZ192" t="s">
        <v>30</v>
      </c>
      <c r="BA192" t="s">
        <v>31</v>
      </c>
      <c r="BB192">
        <v>12919.73</v>
      </c>
      <c r="BC192">
        <v>12919.73</v>
      </c>
      <c r="BD192">
        <v>12919.73</v>
      </c>
      <c r="BE192">
        <v>12919.73</v>
      </c>
      <c r="BF192">
        <v>7661.88</v>
      </c>
      <c r="BG192">
        <v>3179.49</v>
      </c>
      <c r="BH192">
        <v>2765.45</v>
      </c>
      <c r="BI192">
        <v>0</v>
      </c>
      <c r="BJ192">
        <v>0</v>
      </c>
      <c r="BK192">
        <v>2120.73</v>
      </c>
      <c r="BL192">
        <v>4116.8100000000004</v>
      </c>
      <c r="BM192">
        <v>737.25</v>
      </c>
      <c r="BP192" s="3">
        <v>45652</v>
      </c>
      <c r="BQ192">
        <v>7285.98</v>
      </c>
    </row>
    <row r="193" spans="1:71" x14ac:dyDescent="0.25">
      <c r="A193" t="s">
        <v>327</v>
      </c>
      <c r="B193" t="s">
        <v>309</v>
      </c>
      <c r="C193" s="2">
        <f>HYPERLINK("https://szao.dolgi.msk.ru/account/3470078324/", 3470078324)</f>
        <v>3470078324</v>
      </c>
      <c r="D193" t="s">
        <v>29</v>
      </c>
      <c r="E193">
        <v>19484.939999999999</v>
      </c>
      <c r="AX193">
        <v>3.35</v>
      </c>
      <c r="AY193">
        <v>3.37</v>
      </c>
      <c r="AZ193" t="s">
        <v>40</v>
      </c>
      <c r="BA193" t="s">
        <v>49</v>
      </c>
      <c r="BB193">
        <v>19484.939999999999</v>
      </c>
      <c r="BC193">
        <v>19484.939999999999</v>
      </c>
      <c r="BD193">
        <v>19484.939999999999</v>
      </c>
      <c r="BE193">
        <v>19484.939999999999</v>
      </c>
      <c r="BF193">
        <v>13708.11</v>
      </c>
      <c r="BG193">
        <v>5629.1</v>
      </c>
      <c r="BH193">
        <v>1821.43</v>
      </c>
      <c r="BI193">
        <v>2085.3200000000002</v>
      </c>
      <c r="BJ193">
        <v>587.27</v>
      </c>
      <c r="BK193">
        <v>1828.96</v>
      </c>
      <c r="BL193">
        <v>6441.3</v>
      </c>
      <c r="BM193">
        <v>1091.56</v>
      </c>
      <c r="BP193" s="3">
        <v>45636</v>
      </c>
      <c r="BQ193">
        <v>5230.8500000000004</v>
      </c>
    </row>
    <row r="194" spans="1:71" x14ac:dyDescent="0.25">
      <c r="A194" t="s">
        <v>327</v>
      </c>
      <c r="B194" t="s">
        <v>287</v>
      </c>
      <c r="C194" s="2">
        <f>HYPERLINK("https://szao.dolgi.msk.ru/account/3470078404/", 3470078404)</f>
        <v>3470078404</v>
      </c>
      <c r="D194" t="s">
        <v>29</v>
      </c>
      <c r="E194">
        <v>15756.49</v>
      </c>
      <c r="AX194">
        <v>3.42</v>
      </c>
      <c r="AY194">
        <v>2.73</v>
      </c>
      <c r="AZ194" t="s">
        <v>40</v>
      </c>
      <c r="BA194" t="s">
        <v>49</v>
      </c>
      <c r="BB194">
        <v>15756.49</v>
      </c>
      <c r="BC194">
        <v>15756.49</v>
      </c>
      <c r="BD194">
        <v>15756.49</v>
      </c>
      <c r="BE194">
        <v>15756.49</v>
      </c>
      <c r="BF194">
        <v>9983.9699999999993</v>
      </c>
      <c r="BG194">
        <v>4476.72</v>
      </c>
      <c r="BH194">
        <v>636.36</v>
      </c>
      <c r="BI194">
        <v>2524.17</v>
      </c>
      <c r="BJ194">
        <v>653.78</v>
      </c>
      <c r="BK194">
        <v>997.72</v>
      </c>
      <c r="BL194">
        <v>5657.88</v>
      </c>
      <c r="BM194">
        <v>809.86</v>
      </c>
      <c r="BP194" s="3">
        <v>45653</v>
      </c>
      <c r="BQ194">
        <v>5171.9399999999996</v>
      </c>
      <c r="BR194" s="3">
        <v>44797</v>
      </c>
      <c r="BS194" t="s">
        <v>328</v>
      </c>
    </row>
    <row r="195" spans="1:71" x14ac:dyDescent="0.25">
      <c r="A195" t="s">
        <v>327</v>
      </c>
      <c r="B195" t="s">
        <v>313</v>
      </c>
      <c r="C195" s="2">
        <f>HYPERLINK("https://szao.dolgi.msk.ru/account/3470078826/", 3470078826)</f>
        <v>3470078826</v>
      </c>
      <c r="D195" t="s">
        <v>29</v>
      </c>
      <c r="E195">
        <v>263957.57</v>
      </c>
      <c r="AX195">
        <v>24.85</v>
      </c>
      <c r="AY195">
        <v>26.79</v>
      </c>
      <c r="AZ195" t="s">
        <v>56</v>
      </c>
      <c r="BA195" t="s">
        <v>36</v>
      </c>
      <c r="BB195">
        <v>263957.57</v>
      </c>
      <c r="BC195">
        <v>263957.57</v>
      </c>
      <c r="BD195">
        <v>263957.57</v>
      </c>
      <c r="BE195">
        <v>263957.57</v>
      </c>
      <c r="BF195">
        <v>254104.05</v>
      </c>
      <c r="BG195">
        <v>40366.550000000003</v>
      </c>
      <c r="BH195">
        <v>29708.75</v>
      </c>
      <c r="BI195">
        <v>74408.17</v>
      </c>
      <c r="BJ195">
        <v>20421.21</v>
      </c>
      <c r="BK195">
        <v>37056.97</v>
      </c>
      <c r="BL195">
        <v>54141.37</v>
      </c>
      <c r="BM195">
        <v>7854.55</v>
      </c>
      <c r="BP195" s="3">
        <v>45596</v>
      </c>
      <c r="BQ195">
        <v>0</v>
      </c>
      <c r="BR195" s="3">
        <v>45551</v>
      </c>
      <c r="BS195" t="s">
        <v>329</v>
      </c>
    </row>
    <row r="196" spans="1:71" x14ac:dyDescent="0.25">
      <c r="A196" t="s">
        <v>327</v>
      </c>
      <c r="B196" t="s">
        <v>220</v>
      </c>
      <c r="C196" s="2">
        <f>HYPERLINK("https://szao.dolgi.msk.ru/account/3470079087/", 3470079087)</f>
        <v>3470079087</v>
      </c>
      <c r="D196" t="s">
        <v>29</v>
      </c>
      <c r="E196">
        <v>249872.6</v>
      </c>
      <c r="AX196">
        <v>20.46</v>
      </c>
      <c r="AY196">
        <v>19.809999999999999</v>
      </c>
      <c r="AZ196" t="s">
        <v>45</v>
      </c>
      <c r="BA196" t="s">
        <v>36</v>
      </c>
      <c r="BB196">
        <v>249872.6</v>
      </c>
      <c r="BC196">
        <v>249872.6</v>
      </c>
      <c r="BD196">
        <v>249872.6</v>
      </c>
      <c r="BE196">
        <v>249872.6</v>
      </c>
      <c r="BF196">
        <v>237258.31</v>
      </c>
      <c r="BG196">
        <v>43647.67</v>
      </c>
      <c r="BH196">
        <v>20921.689999999999</v>
      </c>
      <c r="BI196">
        <v>57568.32</v>
      </c>
      <c r="BJ196">
        <v>15331.72</v>
      </c>
      <c r="BK196">
        <v>28206.37</v>
      </c>
      <c r="BL196">
        <v>72455.17</v>
      </c>
      <c r="BM196">
        <v>11741.66</v>
      </c>
      <c r="BP196" s="3">
        <v>45417</v>
      </c>
      <c r="BQ196">
        <v>2850</v>
      </c>
      <c r="BR196" s="3">
        <v>45670</v>
      </c>
      <c r="BS196" t="s">
        <v>330</v>
      </c>
    </row>
    <row r="197" spans="1:71" x14ac:dyDescent="0.25">
      <c r="A197" t="s">
        <v>331</v>
      </c>
      <c r="B197" t="s">
        <v>105</v>
      </c>
      <c r="C197" s="2">
        <f>HYPERLINK("https://szao.dolgi.msk.ru/account/3470042858/", 3470042858)</f>
        <v>3470042858</v>
      </c>
      <c r="D197" t="s">
        <v>29</v>
      </c>
      <c r="E197">
        <v>17972.32</v>
      </c>
      <c r="AX197">
        <v>2.71</v>
      </c>
      <c r="AY197">
        <v>2.72</v>
      </c>
      <c r="AZ197" t="s">
        <v>35</v>
      </c>
      <c r="BA197" t="s">
        <v>31</v>
      </c>
      <c r="BB197">
        <v>17972.32</v>
      </c>
      <c r="BC197">
        <v>17972.32</v>
      </c>
      <c r="BD197">
        <v>17972.32</v>
      </c>
      <c r="BE197">
        <v>17972.32</v>
      </c>
      <c r="BF197">
        <v>11354.36</v>
      </c>
      <c r="BG197">
        <v>7421.62</v>
      </c>
      <c r="BH197">
        <v>1024.8800000000001</v>
      </c>
      <c r="BI197">
        <v>0</v>
      </c>
      <c r="BJ197">
        <v>0</v>
      </c>
      <c r="BK197">
        <v>784.94</v>
      </c>
      <c r="BL197">
        <v>7466.66</v>
      </c>
      <c r="BM197">
        <v>1274.22</v>
      </c>
      <c r="BN197">
        <v>5834.9</v>
      </c>
      <c r="BP197" s="3">
        <v>45687</v>
      </c>
      <c r="BQ197">
        <v>5834.9</v>
      </c>
      <c r="BR197" s="3">
        <v>45688</v>
      </c>
      <c r="BS197" t="s">
        <v>332</v>
      </c>
    </row>
    <row r="198" spans="1:71" x14ac:dyDescent="0.25">
      <c r="A198" t="s">
        <v>331</v>
      </c>
      <c r="B198" t="s">
        <v>279</v>
      </c>
      <c r="C198" s="2">
        <f>HYPERLINK("https://szao.dolgi.msk.ru/account/3470042874/", 3470042874)</f>
        <v>3470042874</v>
      </c>
      <c r="D198" t="s">
        <v>29</v>
      </c>
      <c r="E198">
        <v>14011.63</v>
      </c>
      <c r="AX198">
        <v>2.04</v>
      </c>
      <c r="AY198">
        <v>2.09</v>
      </c>
      <c r="AZ198" t="s">
        <v>30</v>
      </c>
      <c r="BA198" t="s">
        <v>31</v>
      </c>
      <c r="BB198">
        <v>14011.63</v>
      </c>
      <c r="BC198">
        <v>14011.63</v>
      </c>
      <c r="BD198">
        <v>14011.63</v>
      </c>
      <c r="BE198">
        <v>14011.63</v>
      </c>
      <c r="BF198">
        <v>7312.5</v>
      </c>
      <c r="BG198">
        <v>5398.57</v>
      </c>
      <c r="BH198">
        <v>1473.88</v>
      </c>
      <c r="BI198">
        <v>0</v>
      </c>
      <c r="BJ198">
        <v>0</v>
      </c>
      <c r="BK198">
        <v>1132.06</v>
      </c>
      <c r="BL198">
        <v>5132.7</v>
      </c>
      <c r="BM198">
        <v>874.42</v>
      </c>
      <c r="BP198" s="3">
        <v>45629</v>
      </c>
      <c r="BQ198">
        <v>13800.86</v>
      </c>
    </row>
    <row r="199" spans="1:71" x14ac:dyDescent="0.25">
      <c r="A199" t="s">
        <v>331</v>
      </c>
      <c r="B199" t="s">
        <v>293</v>
      </c>
      <c r="C199" s="2">
        <f>HYPERLINK("https://szao.dolgi.msk.ru/account/3470043033/", 3470043033)</f>
        <v>3470043033</v>
      </c>
      <c r="D199" t="s">
        <v>29</v>
      </c>
      <c r="E199">
        <v>70837.210000000006</v>
      </c>
      <c r="AX199">
        <v>7.21</v>
      </c>
      <c r="AY199">
        <v>5.65</v>
      </c>
      <c r="AZ199" t="s">
        <v>35</v>
      </c>
      <c r="BA199" t="s">
        <v>66</v>
      </c>
      <c r="BB199">
        <v>70837.210000000006</v>
      </c>
      <c r="BC199">
        <v>70837.210000000006</v>
      </c>
      <c r="BD199">
        <v>70837.210000000006</v>
      </c>
      <c r="BE199">
        <v>70837.210000000006</v>
      </c>
      <c r="BF199">
        <v>58298.19</v>
      </c>
      <c r="BG199">
        <v>25171.21</v>
      </c>
      <c r="BH199">
        <v>14702.75</v>
      </c>
      <c r="BI199">
        <v>0</v>
      </c>
      <c r="BJ199">
        <v>0</v>
      </c>
      <c r="BK199">
        <v>11294.99</v>
      </c>
      <c r="BL199">
        <v>17886.669999999998</v>
      </c>
      <c r="BM199">
        <v>1781.59</v>
      </c>
      <c r="BN199">
        <v>11603.92</v>
      </c>
      <c r="BP199" s="3">
        <v>45680</v>
      </c>
      <c r="BQ199">
        <v>11603.92</v>
      </c>
      <c r="BR199" s="3">
        <v>45638</v>
      </c>
      <c r="BS199" t="s">
        <v>333</v>
      </c>
    </row>
    <row r="200" spans="1:71" x14ac:dyDescent="0.25">
      <c r="A200" t="s">
        <v>334</v>
      </c>
      <c r="B200" t="s">
        <v>335</v>
      </c>
      <c r="C200" s="2">
        <f>HYPERLINK("https://szao.dolgi.msk.ru/account/3470295302/", 3470295302)</f>
        <v>3470295302</v>
      </c>
      <c r="D200" t="s">
        <v>29</v>
      </c>
      <c r="E200">
        <v>10350.52</v>
      </c>
      <c r="AX200">
        <v>4.08</v>
      </c>
      <c r="AY200">
        <v>4.57</v>
      </c>
      <c r="AZ200" t="s">
        <v>40</v>
      </c>
      <c r="BA200" t="s">
        <v>49</v>
      </c>
      <c r="BB200">
        <v>10350.52</v>
      </c>
      <c r="BC200">
        <v>10350.52</v>
      </c>
      <c r="BD200">
        <v>10350.52</v>
      </c>
      <c r="BE200">
        <v>10350.52</v>
      </c>
      <c r="BF200">
        <v>8085.81</v>
      </c>
      <c r="BG200">
        <v>2321.81</v>
      </c>
      <c r="BH200">
        <v>3635.56</v>
      </c>
      <c r="BI200">
        <v>0</v>
      </c>
      <c r="BJ200">
        <v>0</v>
      </c>
      <c r="BK200">
        <v>477.94</v>
      </c>
      <c r="BL200">
        <v>3376.83</v>
      </c>
      <c r="BM200">
        <v>538.38</v>
      </c>
      <c r="BN200">
        <v>1986.45</v>
      </c>
      <c r="BP200" s="3">
        <v>45678</v>
      </c>
      <c r="BQ200">
        <v>1986.45</v>
      </c>
      <c r="BR200" s="3">
        <v>45589</v>
      </c>
      <c r="BS200" t="s">
        <v>336</v>
      </c>
    </row>
    <row r="201" spans="1:71" x14ac:dyDescent="0.25">
      <c r="A201" t="s">
        <v>337</v>
      </c>
      <c r="B201" t="s">
        <v>136</v>
      </c>
      <c r="C201" s="2">
        <f>HYPERLINK("https://szao.dolgi.msk.ru/account/3470044618/", 3470044618)</f>
        <v>3470044618</v>
      </c>
      <c r="D201" t="s">
        <v>29</v>
      </c>
      <c r="E201">
        <v>46227.22</v>
      </c>
      <c r="AX201">
        <v>8.6300000000000008</v>
      </c>
      <c r="AY201">
        <v>7.95</v>
      </c>
      <c r="AZ201" t="s">
        <v>69</v>
      </c>
      <c r="BA201" t="s">
        <v>66</v>
      </c>
      <c r="BB201">
        <v>46227.22</v>
      </c>
      <c r="BC201">
        <v>46227.22</v>
      </c>
      <c r="BD201">
        <v>46227.22</v>
      </c>
      <c r="BE201">
        <v>46227.22</v>
      </c>
      <c r="BF201">
        <v>41051.15</v>
      </c>
      <c r="BG201">
        <v>12682.92</v>
      </c>
      <c r="BH201">
        <v>4299.47</v>
      </c>
      <c r="BI201">
        <v>10731.95</v>
      </c>
      <c r="BJ201">
        <v>2944.28</v>
      </c>
      <c r="BK201">
        <v>5561.51</v>
      </c>
      <c r="BL201">
        <v>8003.73</v>
      </c>
      <c r="BM201">
        <v>2003.36</v>
      </c>
      <c r="BP201" s="3">
        <v>45667</v>
      </c>
      <c r="BQ201">
        <v>3150.8</v>
      </c>
      <c r="BR201" s="3">
        <v>45400</v>
      </c>
      <c r="BS201" t="s">
        <v>338</v>
      </c>
    </row>
    <row r="202" spans="1:71" x14ac:dyDescent="0.25">
      <c r="A202" t="s">
        <v>337</v>
      </c>
      <c r="B202" t="s">
        <v>197</v>
      </c>
      <c r="C202" s="2">
        <f>HYPERLINK("https://szao.dolgi.msk.ru/account/3470044474/", 3470044474)</f>
        <v>3470044474</v>
      </c>
      <c r="D202" t="s">
        <v>29</v>
      </c>
      <c r="E202">
        <v>10852.53</v>
      </c>
      <c r="AX202">
        <v>2.63</v>
      </c>
      <c r="AY202">
        <v>2.57</v>
      </c>
      <c r="AZ202" t="s">
        <v>30</v>
      </c>
      <c r="BA202" t="s">
        <v>31</v>
      </c>
      <c r="BB202">
        <v>10852.53</v>
      </c>
      <c r="BC202">
        <v>10852.53</v>
      </c>
      <c r="BD202">
        <v>10852.53</v>
      </c>
      <c r="BE202">
        <v>10852.53</v>
      </c>
      <c r="BF202">
        <v>6630.35</v>
      </c>
      <c r="BG202">
        <v>3463.06</v>
      </c>
      <c r="BH202">
        <v>598</v>
      </c>
      <c r="BI202">
        <v>1274.04</v>
      </c>
      <c r="BJ202">
        <v>358.8</v>
      </c>
      <c r="BK202">
        <v>734.56</v>
      </c>
      <c r="BL202">
        <v>3768.27</v>
      </c>
      <c r="BM202">
        <v>655.8</v>
      </c>
      <c r="BP202" s="3">
        <v>45622</v>
      </c>
      <c r="BQ202">
        <v>6630.35</v>
      </c>
    </row>
    <row r="203" spans="1:71" x14ac:dyDescent="0.25">
      <c r="A203" t="s">
        <v>337</v>
      </c>
      <c r="B203" t="s">
        <v>339</v>
      </c>
      <c r="C203" s="2">
        <f>HYPERLINK("https://szao.dolgi.msk.ru/account/3470043869/", 3470043869)</f>
        <v>3470043869</v>
      </c>
      <c r="D203" t="s">
        <v>29</v>
      </c>
      <c r="E203">
        <v>78071.11</v>
      </c>
      <c r="AX203">
        <v>26.52</v>
      </c>
      <c r="AY203">
        <v>26.72</v>
      </c>
      <c r="AZ203" t="s">
        <v>30</v>
      </c>
      <c r="BA203" t="s">
        <v>36</v>
      </c>
      <c r="BB203">
        <v>78071.11</v>
      </c>
      <c r="BC203">
        <v>78071.11</v>
      </c>
      <c r="BD203">
        <v>78071.11</v>
      </c>
      <c r="BE203">
        <v>78071.11</v>
      </c>
      <c r="BF203">
        <v>76595.740000000005</v>
      </c>
      <c r="BG203">
        <v>24724.47</v>
      </c>
      <c r="BH203">
        <v>5838.62</v>
      </c>
      <c r="BI203">
        <v>8001.11</v>
      </c>
      <c r="BJ203">
        <v>2062.5100000000002</v>
      </c>
      <c r="BK203">
        <v>5742.16</v>
      </c>
      <c r="BL203">
        <v>25698.7</v>
      </c>
      <c r="BM203">
        <v>6003.54</v>
      </c>
      <c r="BO203">
        <v>2921.98</v>
      </c>
      <c r="BP203" s="3">
        <v>45681</v>
      </c>
      <c r="BQ203">
        <v>2921.98</v>
      </c>
      <c r="BR203" s="3">
        <v>45568</v>
      </c>
      <c r="BS203" t="s">
        <v>340</v>
      </c>
    </row>
    <row r="204" spans="1:71" x14ac:dyDescent="0.25">
      <c r="A204" t="s">
        <v>337</v>
      </c>
      <c r="B204" t="s">
        <v>339</v>
      </c>
      <c r="C204" s="2">
        <f>HYPERLINK("https://szao.dolgi.msk.ru/account/3470610544/", 3470610544)</f>
        <v>3470610544</v>
      </c>
      <c r="D204" t="s">
        <v>29</v>
      </c>
      <c r="E204">
        <v>34206.94</v>
      </c>
      <c r="AX204">
        <v>12.72</v>
      </c>
      <c r="AY204">
        <v>13.84</v>
      </c>
      <c r="AZ204" t="s">
        <v>69</v>
      </c>
      <c r="BA204" t="s">
        <v>36</v>
      </c>
      <c r="BB204">
        <v>34206.94</v>
      </c>
      <c r="BC204">
        <v>34206.94</v>
      </c>
      <c r="BD204">
        <v>34206.94</v>
      </c>
      <c r="BE204">
        <v>34206.94</v>
      </c>
      <c r="BF204">
        <v>33181.11</v>
      </c>
      <c r="BG204">
        <v>10282.950000000001</v>
      </c>
      <c r="BH204">
        <v>1835.51</v>
      </c>
      <c r="BI204">
        <v>4708.7700000000004</v>
      </c>
      <c r="BJ204">
        <v>1278.99</v>
      </c>
      <c r="BK204">
        <v>2421.9699999999998</v>
      </c>
      <c r="BL204">
        <v>11593.35</v>
      </c>
      <c r="BM204">
        <v>2085.4</v>
      </c>
    </row>
    <row r="205" spans="1:71" x14ac:dyDescent="0.25">
      <c r="A205" t="s">
        <v>341</v>
      </c>
      <c r="B205" t="s">
        <v>160</v>
      </c>
      <c r="C205" s="2">
        <f>HYPERLINK("https://szao.dolgi.msk.ru/account/3470045151/", 3470045151)</f>
        <v>3470045151</v>
      </c>
      <c r="D205" t="s">
        <v>29</v>
      </c>
      <c r="E205">
        <v>340713.77</v>
      </c>
      <c r="AX205">
        <v>35.54</v>
      </c>
      <c r="AY205">
        <v>38.06</v>
      </c>
      <c r="AZ205" t="s">
        <v>45</v>
      </c>
      <c r="BA205" t="s">
        <v>36</v>
      </c>
      <c r="BB205">
        <v>340713.77</v>
      </c>
      <c r="BC205">
        <v>340713.77</v>
      </c>
      <c r="BD205">
        <v>340713.77</v>
      </c>
      <c r="BE205">
        <v>340713.77</v>
      </c>
      <c r="BF205">
        <v>331762.53999999998</v>
      </c>
      <c r="BG205">
        <v>57813.16</v>
      </c>
      <c r="BH205">
        <v>11149.98</v>
      </c>
      <c r="BI205">
        <v>52280.1</v>
      </c>
      <c r="BJ205">
        <v>13858.8</v>
      </c>
      <c r="BK205">
        <v>19342.45</v>
      </c>
      <c r="BL205">
        <v>157644.31</v>
      </c>
      <c r="BM205">
        <v>28624.97</v>
      </c>
      <c r="BP205" s="3">
        <v>45485</v>
      </c>
      <c r="BQ205">
        <v>12010.71</v>
      </c>
      <c r="BR205" s="3">
        <v>45699</v>
      </c>
      <c r="BS205" t="s">
        <v>342</v>
      </c>
    </row>
    <row r="206" spans="1:71" x14ac:dyDescent="0.25">
      <c r="A206" t="s">
        <v>341</v>
      </c>
      <c r="B206" t="s">
        <v>296</v>
      </c>
      <c r="C206" s="2">
        <f>HYPERLINK("https://szao.dolgi.msk.ru/account/3470045274/", 3470045274)</f>
        <v>3470045274</v>
      </c>
      <c r="D206" t="s">
        <v>29</v>
      </c>
      <c r="E206">
        <v>51287.47</v>
      </c>
      <c r="AX206">
        <v>11.68</v>
      </c>
      <c r="AY206">
        <v>6.19</v>
      </c>
      <c r="AZ206" t="s">
        <v>40</v>
      </c>
      <c r="BA206" t="s">
        <v>63</v>
      </c>
      <c r="BB206">
        <v>51287.47</v>
      </c>
      <c r="BC206">
        <v>51287.47</v>
      </c>
      <c r="BD206">
        <v>51287.47</v>
      </c>
      <c r="BE206">
        <v>51287.47</v>
      </c>
      <c r="BF206">
        <v>43006.18</v>
      </c>
      <c r="BG206">
        <v>0</v>
      </c>
      <c r="BH206">
        <v>0</v>
      </c>
      <c r="BI206">
        <v>0</v>
      </c>
      <c r="BJ206">
        <v>2575.2800000000002</v>
      </c>
      <c r="BK206">
        <v>0</v>
      </c>
      <c r="BL206">
        <v>37490.410000000003</v>
      </c>
      <c r="BM206">
        <v>11221.78</v>
      </c>
      <c r="BO206">
        <v>7385.09</v>
      </c>
      <c r="BP206" s="3">
        <v>45678</v>
      </c>
      <c r="BQ206">
        <v>7385.09</v>
      </c>
      <c r="BR206" s="3">
        <v>45635</v>
      </c>
      <c r="BS206" t="s">
        <v>343</v>
      </c>
    </row>
    <row r="207" spans="1:71" x14ac:dyDescent="0.25">
      <c r="A207" t="s">
        <v>341</v>
      </c>
      <c r="B207" t="s">
        <v>344</v>
      </c>
      <c r="C207" s="2">
        <f>HYPERLINK("https://szao.dolgi.msk.ru/account/3470045784/", 3470045784)</f>
        <v>3470045784</v>
      </c>
      <c r="D207" t="s">
        <v>29</v>
      </c>
      <c r="E207">
        <v>26496.7</v>
      </c>
      <c r="AX207">
        <v>2.8</v>
      </c>
      <c r="AY207">
        <v>2.79</v>
      </c>
      <c r="AZ207" t="s">
        <v>30</v>
      </c>
      <c r="BA207" t="s">
        <v>31</v>
      </c>
      <c r="BB207">
        <v>26496.7</v>
      </c>
      <c r="BC207">
        <v>26496.7</v>
      </c>
      <c r="BD207">
        <v>26496.7</v>
      </c>
      <c r="BE207">
        <v>26496.7</v>
      </c>
      <c r="BF207">
        <v>16989.57</v>
      </c>
      <c r="BG207">
        <v>4408.76</v>
      </c>
      <c r="BH207">
        <v>1688.55</v>
      </c>
      <c r="BI207">
        <v>4099.47</v>
      </c>
      <c r="BJ207">
        <v>1149.8699999999999</v>
      </c>
      <c r="BK207">
        <v>2176.5500000000002</v>
      </c>
      <c r="BL207">
        <v>11013.83</v>
      </c>
      <c r="BM207">
        <v>1959.67</v>
      </c>
      <c r="BP207" s="3">
        <v>45645</v>
      </c>
      <c r="BQ207">
        <v>14765.54</v>
      </c>
      <c r="BR207" s="3">
        <v>44642</v>
      </c>
      <c r="BS207" t="s">
        <v>345</v>
      </c>
    </row>
    <row r="208" spans="1:71" x14ac:dyDescent="0.25">
      <c r="A208" t="s">
        <v>346</v>
      </c>
      <c r="B208" t="s">
        <v>152</v>
      </c>
      <c r="C208" s="2">
        <f>HYPERLINK("https://szao.dolgi.msk.ru/account/3470045864/", 3470045864)</f>
        <v>3470045864</v>
      </c>
      <c r="D208" t="s">
        <v>29</v>
      </c>
      <c r="E208">
        <v>13598.68</v>
      </c>
      <c r="AX208">
        <v>2.41</v>
      </c>
      <c r="AY208">
        <v>2.19</v>
      </c>
      <c r="AZ208" t="s">
        <v>35</v>
      </c>
      <c r="BA208" t="s">
        <v>31</v>
      </c>
      <c r="BB208">
        <v>13598.68</v>
      </c>
      <c r="BC208">
        <v>13598.68</v>
      </c>
      <c r="BD208">
        <v>13598.68</v>
      </c>
      <c r="BE208">
        <v>13598.68</v>
      </c>
      <c r="BF208">
        <v>13598.68</v>
      </c>
      <c r="BG208">
        <v>3791.09</v>
      </c>
      <c r="BH208">
        <v>853.82</v>
      </c>
      <c r="BI208">
        <v>2316.0300000000002</v>
      </c>
      <c r="BJ208">
        <v>662.41</v>
      </c>
      <c r="BK208">
        <v>1245.27</v>
      </c>
      <c r="BL208">
        <v>3875.8</v>
      </c>
      <c r="BM208">
        <v>854.26</v>
      </c>
      <c r="BN208">
        <v>5893.47</v>
      </c>
      <c r="BO208">
        <v>6201.2</v>
      </c>
      <c r="BP208" s="3">
        <v>45692</v>
      </c>
      <c r="BQ208">
        <v>6201.2</v>
      </c>
    </row>
    <row r="209" spans="1:71" x14ac:dyDescent="0.25">
      <c r="A209" t="s">
        <v>346</v>
      </c>
      <c r="B209" t="s">
        <v>105</v>
      </c>
      <c r="C209" s="2">
        <f>HYPERLINK("https://szao.dolgi.msk.ru/account/3470046234/", 3470046234)</f>
        <v>3470046234</v>
      </c>
      <c r="D209" t="s">
        <v>29</v>
      </c>
      <c r="E209">
        <v>19371.16</v>
      </c>
      <c r="AX209">
        <v>3.6</v>
      </c>
      <c r="AY209">
        <v>3.58</v>
      </c>
      <c r="AZ209" t="s">
        <v>69</v>
      </c>
      <c r="BA209" t="s">
        <v>49</v>
      </c>
      <c r="BB209">
        <v>19371.16</v>
      </c>
      <c r="BC209">
        <v>19371.16</v>
      </c>
      <c r="BD209">
        <v>19371.16</v>
      </c>
      <c r="BE209">
        <v>19371.16</v>
      </c>
      <c r="BF209">
        <v>13964.07</v>
      </c>
      <c r="BG209">
        <v>5160.01</v>
      </c>
      <c r="BH209">
        <v>1604.08</v>
      </c>
      <c r="BI209">
        <v>3015.03</v>
      </c>
      <c r="BJ209">
        <v>849.1</v>
      </c>
      <c r="BK209">
        <v>1883.38</v>
      </c>
      <c r="BL209">
        <v>5858.96</v>
      </c>
      <c r="BM209">
        <v>1000.6</v>
      </c>
      <c r="BP209" s="3">
        <v>45575</v>
      </c>
      <c r="BQ209">
        <v>16088.41</v>
      </c>
      <c r="BR209" s="3">
        <v>45141</v>
      </c>
      <c r="BS209" t="s">
        <v>347</v>
      </c>
    </row>
    <row r="210" spans="1:71" x14ac:dyDescent="0.25">
      <c r="A210" t="s">
        <v>346</v>
      </c>
      <c r="B210" t="s">
        <v>95</v>
      </c>
      <c r="C210" s="2">
        <f>HYPERLINK("https://szao.dolgi.msk.ru/account/3470046293/", 3470046293)</f>
        <v>3470046293</v>
      </c>
      <c r="D210" t="s">
        <v>29</v>
      </c>
      <c r="E210">
        <v>96483.08</v>
      </c>
      <c r="AX210">
        <v>11.39</v>
      </c>
      <c r="AY210">
        <v>11.06</v>
      </c>
      <c r="AZ210" t="s">
        <v>40</v>
      </c>
      <c r="BA210" t="s">
        <v>63</v>
      </c>
      <c r="BB210">
        <v>96483.08</v>
      </c>
      <c r="BC210">
        <v>96483.08</v>
      </c>
      <c r="BD210">
        <v>96483.08</v>
      </c>
      <c r="BE210">
        <v>96483.08</v>
      </c>
      <c r="BF210">
        <v>120755.88</v>
      </c>
      <c r="BG210">
        <v>16863.38</v>
      </c>
      <c r="BH210">
        <v>15512.5</v>
      </c>
      <c r="BI210">
        <v>11620.31</v>
      </c>
      <c r="BJ210">
        <v>8269.7099999999991</v>
      </c>
      <c r="BK210">
        <v>20775.23</v>
      </c>
      <c r="BL210">
        <v>19678.77</v>
      </c>
      <c r="BM210">
        <v>3763.18</v>
      </c>
      <c r="BN210">
        <v>33000</v>
      </c>
      <c r="BP210" s="3">
        <v>45696</v>
      </c>
      <c r="BQ210">
        <v>33000</v>
      </c>
      <c r="BR210" s="3">
        <v>45653</v>
      </c>
      <c r="BS210" t="s">
        <v>348</v>
      </c>
    </row>
    <row r="211" spans="1:71" x14ac:dyDescent="0.25">
      <c r="A211" t="s">
        <v>346</v>
      </c>
      <c r="B211" t="s">
        <v>225</v>
      </c>
      <c r="C211" s="2">
        <f>HYPERLINK("https://szao.dolgi.msk.ru/account/3470046314/", 3470046314)</f>
        <v>3470046314</v>
      </c>
      <c r="D211" t="s">
        <v>29</v>
      </c>
      <c r="E211">
        <v>282853.57</v>
      </c>
      <c r="AX211">
        <v>34.549999999999997</v>
      </c>
      <c r="AY211">
        <v>29.51</v>
      </c>
      <c r="AZ211" t="s">
        <v>56</v>
      </c>
      <c r="BA211" t="s">
        <v>36</v>
      </c>
      <c r="BB211">
        <v>282853.57</v>
      </c>
      <c r="BC211">
        <v>282853.57</v>
      </c>
      <c r="BD211">
        <v>282853.57</v>
      </c>
      <c r="BE211">
        <v>282853.57</v>
      </c>
      <c r="BF211">
        <v>273267.32</v>
      </c>
      <c r="BG211">
        <v>45720.81</v>
      </c>
      <c r="BH211">
        <v>32254.71</v>
      </c>
      <c r="BI211">
        <v>84649.39</v>
      </c>
      <c r="BJ211">
        <v>22565.4</v>
      </c>
      <c r="BK211">
        <v>38815.160000000003</v>
      </c>
      <c r="BL211">
        <v>50830.06</v>
      </c>
      <c r="BM211">
        <v>8018.04</v>
      </c>
      <c r="BP211" s="3">
        <v>45596</v>
      </c>
      <c r="BQ211">
        <v>0</v>
      </c>
      <c r="BR211" s="3">
        <v>45355</v>
      </c>
      <c r="BS211" t="s">
        <v>349</v>
      </c>
    </row>
    <row r="212" spans="1:71" x14ac:dyDescent="0.25">
      <c r="A212" t="s">
        <v>346</v>
      </c>
      <c r="B212" t="s">
        <v>227</v>
      </c>
      <c r="C212" s="2">
        <f>HYPERLINK("https://szao.dolgi.msk.ru/account/3470046365/", 3470046365)</f>
        <v>3470046365</v>
      </c>
      <c r="D212" t="s">
        <v>29</v>
      </c>
      <c r="E212">
        <v>148970.98000000001</v>
      </c>
      <c r="AX212">
        <v>42.66</v>
      </c>
      <c r="AY212">
        <v>38.880000000000003</v>
      </c>
      <c r="AZ212" t="s">
        <v>56</v>
      </c>
      <c r="BA212" t="s">
        <v>36</v>
      </c>
      <c r="BB212">
        <v>148970.98000000001</v>
      </c>
      <c r="BC212">
        <v>148970.98000000001</v>
      </c>
      <c r="BD212">
        <v>169142.25</v>
      </c>
      <c r="BE212">
        <v>169142.25</v>
      </c>
      <c r="BF212">
        <v>145139.04</v>
      </c>
      <c r="BG212">
        <v>26422</v>
      </c>
      <c r="BH212">
        <v>13633.84</v>
      </c>
      <c r="BI212">
        <v>41024.910000000003</v>
      </c>
      <c r="BJ212">
        <v>10704.89</v>
      </c>
      <c r="BK212">
        <v>-20171.27</v>
      </c>
      <c r="BL212">
        <v>66611.960000000006</v>
      </c>
      <c r="BM212">
        <v>10744.65</v>
      </c>
      <c r="BP212" s="3">
        <v>45596</v>
      </c>
      <c r="BQ212">
        <v>0</v>
      </c>
      <c r="BR212" s="3">
        <v>45049</v>
      </c>
      <c r="BS212" t="s">
        <v>350</v>
      </c>
    </row>
    <row r="213" spans="1:71" x14ac:dyDescent="0.25">
      <c r="A213" t="s">
        <v>346</v>
      </c>
      <c r="B213" t="s">
        <v>87</v>
      </c>
      <c r="C213" s="2">
        <f>HYPERLINK("https://szao.dolgi.msk.ru/account/3470325145/", 3470325145)</f>
        <v>3470325145</v>
      </c>
      <c r="D213" t="s">
        <v>29</v>
      </c>
      <c r="E213">
        <v>61947.95</v>
      </c>
      <c r="AX213">
        <v>5.54</v>
      </c>
      <c r="AY213">
        <v>5.0999999999999996</v>
      </c>
      <c r="AZ213" t="s">
        <v>40</v>
      </c>
      <c r="BA213" t="s">
        <v>49</v>
      </c>
      <c r="BB213">
        <v>61947.95</v>
      </c>
      <c r="BC213">
        <v>61947.95</v>
      </c>
      <c r="BD213">
        <v>61947.95</v>
      </c>
      <c r="BE213">
        <v>61947.95</v>
      </c>
      <c r="BF213">
        <v>49800.639999999999</v>
      </c>
      <c r="BG213">
        <v>16050.66</v>
      </c>
      <c r="BH213">
        <v>3797.37</v>
      </c>
      <c r="BI213">
        <v>11766.1</v>
      </c>
      <c r="BJ213">
        <v>3079.27</v>
      </c>
      <c r="BK213">
        <v>5254.24</v>
      </c>
      <c r="BL213">
        <v>18070.47</v>
      </c>
      <c r="BM213">
        <v>3929.84</v>
      </c>
      <c r="BN213">
        <v>46139.040000000001</v>
      </c>
      <c r="BO213">
        <v>12147.31</v>
      </c>
      <c r="BP213" s="3">
        <v>45684</v>
      </c>
      <c r="BQ213">
        <v>41719.46</v>
      </c>
      <c r="BR213" s="3">
        <v>45013</v>
      </c>
      <c r="BS213" t="s">
        <v>351</v>
      </c>
    </row>
    <row r="214" spans="1:71" x14ac:dyDescent="0.25">
      <c r="A214" t="s">
        <v>346</v>
      </c>
      <c r="B214" t="s">
        <v>352</v>
      </c>
      <c r="C214" s="2">
        <f>HYPERLINK("https://szao.dolgi.msk.ru/account/3470046496/", 3470046496)</f>
        <v>3470046496</v>
      </c>
      <c r="D214" t="s">
        <v>29</v>
      </c>
      <c r="E214">
        <v>184961.79</v>
      </c>
      <c r="AX214">
        <v>7.52</v>
      </c>
      <c r="AY214">
        <v>7.43</v>
      </c>
      <c r="AZ214" t="s">
        <v>45</v>
      </c>
      <c r="BA214" t="s">
        <v>66</v>
      </c>
      <c r="BB214">
        <v>184961.79</v>
      </c>
      <c r="BC214">
        <v>184961.79</v>
      </c>
      <c r="BD214">
        <v>184961.79</v>
      </c>
      <c r="BE214">
        <v>184961.79</v>
      </c>
      <c r="BF214">
        <v>160216.79</v>
      </c>
      <c r="BG214">
        <v>13112.69</v>
      </c>
      <c r="BH214">
        <v>11231.94</v>
      </c>
      <c r="BI214">
        <v>91030.58</v>
      </c>
      <c r="BJ214">
        <v>25260.639999999999</v>
      </c>
      <c r="BK214">
        <v>28149.53</v>
      </c>
      <c r="BL214">
        <v>13532.42</v>
      </c>
      <c r="BM214">
        <v>2643.99</v>
      </c>
      <c r="BP214" s="3">
        <v>45644</v>
      </c>
      <c r="BQ214">
        <v>4741.6400000000003</v>
      </c>
      <c r="BR214" s="3">
        <v>44859</v>
      </c>
      <c r="BS214" t="s">
        <v>353</v>
      </c>
    </row>
    <row r="215" spans="1:71" x14ac:dyDescent="0.25">
      <c r="A215" t="s">
        <v>346</v>
      </c>
      <c r="B215" t="s">
        <v>354</v>
      </c>
      <c r="C215" s="2">
        <f>HYPERLINK("https://szao.dolgi.msk.ru/account/3470046672/", 3470046672)</f>
        <v>3470046672</v>
      </c>
      <c r="D215" t="s">
        <v>29</v>
      </c>
      <c r="E215">
        <v>30717.439999999999</v>
      </c>
      <c r="AX215">
        <v>4.7</v>
      </c>
      <c r="AY215">
        <v>4.75</v>
      </c>
      <c r="AZ215" t="s">
        <v>69</v>
      </c>
      <c r="BA215" t="s">
        <v>49</v>
      </c>
      <c r="BB215">
        <v>30717.439999999999</v>
      </c>
      <c r="BC215">
        <v>30717.439999999999</v>
      </c>
      <c r="BD215">
        <v>30717.439999999999</v>
      </c>
      <c r="BE215">
        <v>30717.439999999999</v>
      </c>
      <c r="BF215">
        <v>24343.86</v>
      </c>
      <c r="BG215">
        <v>10607.87</v>
      </c>
      <c r="BH215">
        <v>1456.15</v>
      </c>
      <c r="BI215">
        <v>2465.7600000000002</v>
      </c>
      <c r="BJ215">
        <v>694.41</v>
      </c>
      <c r="BK215">
        <v>1651.05</v>
      </c>
      <c r="BL215">
        <v>11755.2</v>
      </c>
      <c r="BM215">
        <v>2087</v>
      </c>
      <c r="BP215" s="3">
        <v>45545</v>
      </c>
      <c r="BQ215">
        <v>25580.62</v>
      </c>
      <c r="BR215" s="3">
        <v>45226</v>
      </c>
      <c r="BS215" t="s">
        <v>355</v>
      </c>
    </row>
    <row r="216" spans="1:71" x14ac:dyDescent="0.25">
      <c r="A216" t="s">
        <v>346</v>
      </c>
      <c r="B216" t="s">
        <v>108</v>
      </c>
      <c r="C216" s="2">
        <f>HYPERLINK("https://szao.dolgi.msk.ru/account/3470046744/", 3470046744)</f>
        <v>3470046744</v>
      </c>
      <c r="D216" t="s">
        <v>29</v>
      </c>
      <c r="E216">
        <v>22355.39</v>
      </c>
      <c r="AX216">
        <v>4.38</v>
      </c>
      <c r="AY216">
        <v>4.34</v>
      </c>
      <c r="AZ216" t="s">
        <v>40</v>
      </c>
      <c r="BA216" t="s">
        <v>49</v>
      </c>
      <c r="BB216">
        <v>22355.39</v>
      </c>
      <c r="BC216">
        <v>21899.99</v>
      </c>
      <c r="BD216">
        <v>22355.39</v>
      </c>
      <c r="BE216">
        <v>21899.99</v>
      </c>
      <c r="BF216">
        <v>17205.490000000002</v>
      </c>
      <c r="BG216">
        <v>3716.22</v>
      </c>
      <c r="BH216">
        <v>3271.85</v>
      </c>
      <c r="BI216">
        <v>5509.71</v>
      </c>
      <c r="BJ216">
        <v>1688.2</v>
      </c>
      <c r="BK216">
        <v>2039.7</v>
      </c>
      <c r="BL216">
        <v>5438.14</v>
      </c>
      <c r="BM216">
        <v>691.57</v>
      </c>
      <c r="BP216" s="3">
        <v>45643</v>
      </c>
      <c r="BQ216">
        <v>9642.64</v>
      </c>
      <c r="BR216" s="3">
        <v>45510</v>
      </c>
      <c r="BS216" t="s">
        <v>356</v>
      </c>
    </row>
    <row r="217" spans="1:71" x14ac:dyDescent="0.25">
      <c r="A217" t="s">
        <v>346</v>
      </c>
      <c r="B217" t="s">
        <v>339</v>
      </c>
      <c r="C217" s="2">
        <f>HYPERLINK("https://szao.dolgi.msk.ru/account/3470045899/", 3470045899)</f>
        <v>3470045899</v>
      </c>
      <c r="D217" t="s">
        <v>29</v>
      </c>
      <c r="E217">
        <v>105776.35</v>
      </c>
      <c r="AX217">
        <v>29.61</v>
      </c>
      <c r="AY217">
        <v>18.18</v>
      </c>
      <c r="AZ217" t="s">
        <v>45</v>
      </c>
      <c r="BA217" t="s">
        <v>36</v>
      </c>
      <c r="BB217">
        <v>105776.35</v>
      </c>
      <c r="BC217">
        <v>105776.35</v>
      </c>
      <c r="BD217">
        <v>105776.35</v>
      </c>
      <c r="BE217">
        <v>105776.35</v>
      </c>
      <c r="BF217">
        <v>99956.57</v>
      </c>
      <c r="BG217">
        <v>11169.8</v>
      </c>
      <c r="BH217">
        <v>12760.64</v>
      </c>
      <c r="BI217">
        <v>26412.79</v>
      </c>
      <c r="BJ217">
        <v>26719.279999999999</v>
      </c>
      <c r="BK217">
        <v>16005.61</v>
      </c>
      <c r="BL217">
        <v>7062.51</v>
      </c>
      <c r="BM217">
        <v>5645.72</v>
      </c>
      <c r="BP217" s="3">
        <v>45482</v>
      </c>
      <c r="BQ217">
        <v>4944.99</v>
      </c>
      <c r="BR217" s="3">
        <v>45670</v>
      </c>
      <c r="BS217" t="s">
        <v>357</v>
      </c>
    </row>
    <row r="218" spans="1:71" x14ac:dyDescent="0.25">
      <c r="A218" t="s">
        <v>358</v>
      </c>
      <c r="B218" t="s">
        <v>359</v>
      </c>
      <c r="C218" s="2">
        <f>HYPERLINK("https://szao.dolgi.msk.ru/account/3470047886/", 3470047886)</f>
        <v>3470047886</v>
      </c>
      <c r="D218" t="s">
        <v>29</v>
      </c>
      <c r="E218">
        <v>52449.11</v>
      </c>
      <c r="AX218">
        <v>12.81</v>
      </c>
      <c r="AY218">
        <v>11.25</v>
      </c>
      <c r="AZ218" t="s">
        <v>40</v>
      </c>
      <c r="BA218" t="s">
        <v>36</v>
      </c>
      <c r="BB218">
        <v>52449.11</v>
      </c>
      <c r="BC218">
        <v>52449.11</v>
      </c>
      <c r="BD218">
        <v>52449.11</v>
      </c>
      <c r="BE218">
        <v>52449.11</v>
      </c>
      <c r="BF218">
        <v>47787.71</v>
      </c>
      <c r="BG218">
        <v>9774.84</v>
      </c>
      <c r="BH218">
        <v>4428.88</v>
      </c>
      <c r="BI218">
        <v>0</v>
      </c>
      <c r="BJ218">
        <v>0</v>
      </c>
      <c r="BK218">
        <v>3521.65</v>
      </c>
      <c r="BL218">
        <v>28145.86</v>
      </c>
      <c r="BM218">
        <v>6577.88</v>
      </c>
      <c r="BO218">
        <v>4661.3999999999996</v>
      </c>
      <c r="BP218" s="3">
        <v>45679</v>
      </c>
      <c r="BQ218">
        <v>4661.3999999999996</v>
      </c>
      <c r="BR218" s="3">
        <v>45631</v>
      </c>
      <c r="BS218" t="s">
        <v>360</v>
      </c>
    </row>
    <row r="219" spans="1:71" x14ac:dyDescent="0.25">
      <c r="A219" t="s">
        <v>361</v>
      </c>
      <c r="B219" t="s">
        <v>152</v>
      </c>
      <c r="C219" s="2">
        <f>HYPERLINK("https://szao.dolgi.msk.ru/account/3470614799/", 3470614799)</f>
        <v>3470614799</v>
      </c>
      <c r="D219" t="s">
        <v>29</v>
      </c>
      <c r="E219">
        <v>41635.4</v>
      </c>
      <c r="AX219">
        <v>5.32</v>
      </c>
      <c r="AY219">
        <v>5.28</v>
      </c>
      <c r="AZ219" t="s">
        <v>69</v>
      </c>
      <c r="BA219" t="s">
        <v>49</v>
      </c>
      <c r="BB219">
        <v>41635.4</v>
      </c>
      <c r="BC219">
        <v>41635.4</v>
      </c>
      <c r="BD219">
        <v>41635.4</v>
      </c>
      <c r="BE219">
        <v>41635.4</v>
      </c>
      <c r="BF219">
        <v>0</v>
      </c>
      <c r="BG219">
        <v>10496</v>
      </c>
      <c r="BH219">
        <v>8844.4</v>
      </c>
      <c r="BI219">
        <v>0</v>
      </c>
      <c r="BJ219">
        <v>0</v>
      </c>
      <c r="BK219">
        <v>6790.1</v>
      </c>
      <c r="BL219">
        <v>12687.96</v>
      </c>
      <c r="BM219">
        <v>2816.94</v>
      </c>
    </row>
    <row r="220" spans="1:71" x14ac:dyDescent="0.25">
      <c r="A220" t="s">
        <v>361</v>
      </c>
      <c r="B220" t="s">
        <v>194</v>
      </c>
      <c r="C220" s="2">
        <f>HYPERLINK("https://szao.dolgi.msk.ru/account/3470048192/", 3470048192)</f>
        <v>3470048192</v>
      </c>
      <c r="D220" t="s">
        <v>29</v>
      </c>
      <c r="E220">
        <v>73988.55</v>
      </c>
      <c r="AX220">
        <v>7.77</v>
      </c>
      <c r="AY220">
        <v>9.06</v>
      </c>
      <c r="AZ220" t="s">
        <v>40</v>
      </c>
      <c r="BA220" t="s">
        <v>66</v>
      </c>
      <c r="BB220">
        <v>73988.55</v>
      </c>
      <c r="BC220">
        <v>73988.55</v>
      </c>
      <c r="BD220">
        <v>73988.55</v>
      </c>
      <c r="BE220">
        <v>73988.55</v>
      </c>
      <c r="BF220">
        <v>66021.039999999994</v>
      </c>
      <c r="BG220">
        <v>12080.67</v>
      </c>
      <c r="BH220">
        <v>28008.27</v>
      </c>
      <c r="BI220">
        <v>0</v>
      </c>
      <c r="BJ220">
        <v>0</v>
      </c>
      <c r="BK220">
        <v>21911.64</v>
      </c>
      <c r="BL220">
        <v>8762.06</v>
      </c>
      <c r="BM220">
        <v>3225.91</v>
      </c>
      <c r="BP220" s="3">
        <v>45649</v>
      </c>
      <c r="BQ220">
        <v>21716.25</v>
      </c>
      <c r="BR220" s="3">
        <v>45666</v>
      </c>
      <c r="BS220" t="s">
        <v>362</v>
      </c>
    </row>
    <row r="221" spans="1:71" x14ac:dyDescent="0.25">
      <c r="A221" t="s">
        <v>363</v>
      </c>
      <c r="B221" t="s">
        <v>364</v>
      </c>
      <c r="C221" s="2">
        <f>HYPERLINK("https://szao.dolgi.msk.ru/account/3470048993/", 3470048993)</f>
        <v>3470048993</v>
      </c>
      <c r="D221" t="s">
        <v>29</v>
      </c>
      <c r="E221">
        <v>255008.62</v>
      </c>
      <c r="AX221">
        <v>30.06</v>
      </c>
      <c r="AY221">
        <v>24.78</v>
      </c>
      <c r="AZ221" t="s">
        <v>56</v>
      </c>
      <c r="BA221" t="s">
        <v>36</v>
      </c>
      <c r="BB221">
        <v>255008.62</v>
      </c>
      <c r="BC221">
        <v>255008.62</v>
      </c>
      <c r="BD221">
        <v>255008.62</v>
      </c>
      <c r="BE221">
        <v>255008.62</v>
      </c>
      <c r="BF221">
        <v>244718.26</v>
      </c>
      <c r="BG221">
        <v>53418.74</v>
      </c>
      <c r="BH221">
        <v>28148.38</v>
      </c>
      <c r="BI221">
        <v>65865.06</v>
      </c>
      <c r="BJ221">
        <v>22485.68</v>
      </c>
      <c r="BK221">
        <v>34583.72</v>
      </c>
      <c r="BL221">
        <v>39033.379999999997</v>
      </c>
      <c r="BM221">
        <v>11473.66</v>
      </c>
      <c r="BP221" s="3">
        <v>45596</v>
      </c>
      <c r="BQ221">
        <v>0</v>
      </c>
      <c r="BR221" s="3">
        <v>45624</v>
      </c>
      <c r="BS221" t="s">
        <v>365</v>
      </c>
    </row>
    <row r="222" spans="1:71" x14ac:dyDescent="0.25">
      <c r="A222" t="s">
        <v>363</v>
      </c>
      <c r="B222" t="s">
        <v>366</v>
      </c>
      <c r="C222" s="2">
        <f>HYPERLINK("https://szao.dolgi.msk.ru/account/3470050006/", 3470050006)</f>
        <v>3470050006</v>
      </c>
      <c r="D222" t="s">
        <v>29</v>
      </c>
      <c r="E222">
        <v>7887.63</v>
      </c>
      <c r="AX222">
        <v>2.87</v>
      </c>
      <c r="AY222">
        <v>2.46</v>
      </c>
      <c r="AZ222" t="s">
        <v>40</v>
      </c>
      <c r="BA222" t="s">
        <v>31</v>
      </c>
      <c r="BB222">
        <v>7887.63</v>
      </c>
      <c r="BC222">
        <v>7887.63</v>
      </c>
      <c r="BD222">
        <v>7887.63</v>
      </c>
      <c r="BE222">
        <v>7887.63</v>
      </c>
      <c r="BF222">
        <v>10113.74</v>
      </c>
      <c r="BG222">
        <v>5220.5600000000004</v>
      </c>
      <c r="BH222">
        <v>239.2</v>
      </c>
      <c r="BI222">
        <v>212.34</v>
      </c>
      <c r="BJ222">
        <v>59.8</v>
      </c>
      <c r="BK222">
        <v>229.55</v>
      </c>
      <c r="BL222">
        <v>913.86</v>
      </c>
      <c r="BM222">
        <v>1012.32</v>
      </c>
      <c r="BN222">
        <v>7690.57</v>
      </c>
      <c r="BP222" s="3">
        <v>45693</v>
      </c>
      <c r="BQ222">
        <v>5034.92</v>
      </c>
    </row>
    <row r="223" spans="1:71" x14ac:dyDescent="0.25">
      <c r="A223" t="s">
        <v>363</v>
      </c>
      <c r="B223" t="s">
        <v>367</v>
      </c>
      <c r="C223" s="2">
        <f>HYPERLINK("https://szao.dolgi.msk.ru/account/3470048897/", 3470048897)</f>
        <v>3470048897</v>
      </c>
      <c r="D223" t="s">
        <v>29</v>
      </c>
      <c r="E223">
        <v>59765.72</v>
      </c>
      <c r="AX223">
        <v>8.74</v>
      </c>
      <c r="AY223">
        <v>8.69</v>
      </c>
      <c r="AZ223" t="s">
        <v>35</v>
      </c>
      <c r="BA223" t="s">
        <v>66</v>
      </c>
      <c r="BB223">
        <v>59765.72</v>
      </c>
      <c r="BC223">
        <v>59765.72</v>
      </c>
      <c r="BD223">
        <v>59765.72</v>
      </c>
      <c r="BE223">
        <v>59765.72</v>
      </c>
      <c r="BF223">
        <v>52886.18</v>
      </c>
      <c r="BG223">
        <v>14426.52</v>
      </c>
      <c r="BH223">
        <v>5792.04</v>
      </c>
      <c r="BI223">
        <v>13258.67</v>
      </c>
      <c r="BJ223">
        <v>3571.48</v>
      </c>
      <c r="BK223">
        <v>7309.81</v>
      </c>
      <c r="BL223">
        <v>12319.68</v>
      </c>
      <c r="BM223">
        <v>3087.52</v>
      </c>
      <c r="BN223">
        <v>4777.49</v>
      </c>
      <c r="BP223" s="3">
        <v>45670</v>
      </c>
      <c r="BQ223">
        <v>4777.49</v>
      </c>
      <c r="BR223" s="3">
        <v>45203</v>
      </c>
      <c r="BS223" t="s">
        <v>368</v>
      </c>
    </row>
    <row r="224" spans="1:71" x14ac:dyDescent="0.25">
      <c r="A224" t="s">
        <v>369</v>
      </c>
      <c r="B224" t="s">
        <v>28</v>
      </c>
      <c r="C224" s="2">
        <f>HYPERLINK("https://szao.dolgi.msk.ru/account/3470296508/", 3470296508)</f>
        <v>3470296508</v>
      </c>
      <c r="D224" t="s">
        <v>29</v>
      </c>
      <c r="E224">
        <v>28672.2</v>
      </c>
      <c r="AX224">
        <v>10.220000000000001</v>
      </c>
      <c r="AY224">
        <v>9.0399999999999991</v>
      </c>
      <c r="AZ224" t="s">
        <v>40</v>
      </c>
      <c r="BA224" t="s">
        <v>63</v>
      </c>
      <c r="BB224">
        <v>28672.2</v>
      </c>
      <c r="BC224">
        <v>28672.2</v>
      </c>
      <c r="BD224">
        <v>28672.2</v>
      </c>
      <c r="BE224">
        <v>28672.2</v>
      </c>
      <c r="BF224">
        <v>25500.720000000001</v>
      </c>
      <c r="BG224">
        <v>6341.44</v>
      </c>
      <c r="BH224">
        <v>5538.48</v>
      </c>
      <c r="BI224">
        <v>0</v>
      </c>
      <c r="BJ224">
        <v>0</v>
      </c>
      <c r="BK224">
        <v>4620.79</v>
      </c>
      <c r="BL224">
        <v>10403.57</v>
      </c>
      <c r="BM224">
        <v>1767.92</v>
      </c>
      <c r="BO224">
        <v>3171.48</v>
      </c>
      <c r="BP224" s="3">
        <v>45678</v>
      </c>
      <c r="BQ224">
        <v>3171.48</v>
      </c>
      <c r="BR224" s="3">
        <v>45635</v>
      </c>
      <c r="BS224" t="s">
        <v>370</v>
      </c>
    </row>
    <row r="225" spans="1:71" x14ac:dyDescent="0.25">
      <c r="A225" t="s">
        <v>369</v>
      </c>
      <c r="B225" t="s">
        <v>160</v>
      </c>
      <c r="C225" s="2">
        <f>HYPERLINK("https://szao.dolgi.msk.ru/account/3470050065/", 3470050065)</f>
        <v>3470050065</v>
      </c>
      <c r="D225" t="s">
        <v>29</v>
      </c>
      <c r="E225">
        <v>95393.4</v>
      </c>
      <c r="AX225">
        <v>10.35</v>
      </c>
      <c r="AY225">
        <v>10.33</v>
      </c>
      <c r="AZ225" t="s">
        <v>40</v>
      </c>
      <c r="BA225" t="s">
        <v>63</v>
      </c>
      <c r="BB225">
        <v>95393.4</v>
      </c>
      <c r="BC225">
        <v>95393.4</v>
      </c>
      <c r="BD225">
        <v>95393.4</v>
      </c>
      <c r="BE225">
        <v>95393.4</v>
      </c>
      <c r="BF225">
        <v>86155.05</v>
      </c>
      <c r="BG225">
        <v>6894.15</v>
      </c>
      <c r="BH225">
        <v>44627.32</v>
      </c>
      <c r="BI225">
        <v>0</v>
      </c>
      <c r="BJ225">
        <v>0</v>
      </c>
      <c r="BK225">
        <v>32373.37</v>
      </c>
      <c r="BL225">
        <v>10003.57</v>
      </c>
      <c r="BM225">
        <v>1494.99</v>
      </c>
      <c r="BN225">
        <v>40069.96</v>
      </c>
      <c r="BP225" s="3">
        <v>45683</v>
      </c>
      <c r="BQ225">
        <v>40069.96</v>
      </c>
      <c r="BR225" s="3">
        <v>45638</v>
      </c>
      <c r="BS225" t="s">
        <v>371</v>
      </c>
    </row>
    <row r="226" spans="1:71" x14ac:dyDescent="0.25">
      <c r="A226" t="s">
        <v>369</v>
      </c>
      <c r="B226" t="s">
        <v>282</v>
      </c>
      <c r="C226" s="2">
        <f>HYPERLINK("https://szao.dolgi.msk.ru/account/3470050604/", 3470050604)</f>
        <v>3470050604</v>
      </c>
      <c r="D226" t="s">
        <v>29</v>
      </c>
      <c r="E226">
        <v>16488.3</v>
      </c>
      <c r="AX226">
        <v>3.82</v>
      </c>
      <c r="AY226">
        <v>3.93</v>
      </c>
      <c r="AZ226" t="s">
        <v>40</v>
      </c>
      <c r="BA226" t="s">
        <v>49</v>
      </c>
      <c r="BB226">
        <v>16488.3</v>
      </c>
      <c r="BC226">
        <v>16488.3</v>
      </c>
      <c r="BD226">
        <v>16488.3</v>
      </c>
      <c r="BE226">
        <v>16488.3</v>
      </c>
      <c r="BF226">
        <v>12291.96</v>
      </c>
      <c r="BG226">
        <v>4210.32</v>
      </c>
      <c r="BH226">
        <v>3887</v>
      </c>
      <c r="BI226">
        <v>0</v>
      </c>
      <c r="BJ226">
        <v>0</v>
      </c>
      <c r="BK226">
        <v>2984.14</v>
      </c>
      <c r="BL226">
        <v>4651.96</v>
      </c>
      <c r="BM226">
        <v>754.88</v>
      </c>
      <c r="BP226" s="3">
        <v>45667</v>
      </c>
      <c r="BQ226">
        <v>4718.78</v>
      </c>
      <c r="BR226" s="3">
        <v>45631</v>
      </c>
      <c r="BS226" t="s">
        <v>372</v>
      </c>
    </row>
    <row r="227" spans="1:71" x14ac:dyDescent="0.25">
      <c r="A227" t="s">
        <v>373</v>
      </c>
      <c r="B227" t="s">
        <v>139</v>
      </c>
      <c r="C227" s="2">
        <f>HYPERLINK("https://szao.dolgi.msk.ru/account/3470321179/", 3470321179)</f>
        <v>3470321179</v>
      </c>
      <c r="D227" t="s">
        <v>29</v>
      </c>
      <c r="E227">
        <v>8234.27</v>
      </c>
      <c r="AX227">
        <v>2.2400000000000002</v>
      </c>
      <c r="AY227">
        <v>1.83</v>
      </c>
      <c r="AZ227" t="s">
        <v>30</v>
      </c>
      <c r="BA227" t="s">
        <v>31</v>
      </c>
      <c r="BB227">
        <v>8234.27</v>
      </c>
      <c r="BC227">
        <v>8234.27</v>
      </c>
      <c r="BD227">
        <v>8234.27</v>
      </c>
      <c r="BE227">
        <v>8234.27</v>
      </c>
      <c r="BF227">
        <v>3741.31</v>
      </c>
      <c r="BG227">
        <v>1954.89</v>
      </c>
      <c r="BH227">
        <v>1980.88</v>
      </c>
      <c r="BI227">
        <v>0</v>
      </c>
      <c r="BJ227">
        <v>0</v>
      </c>
      <c r="BK227">
        <v>1520.77</v>
      </c>
      <c r="BL227">
        <v>2062.5</v>
      </c>
      <c r="BM227">
        <v>715.23</v>
      </c>
      <c r="BP227" s="3">
        <v>45667</v>
      </c>
      <c r="BQ227">
        <v>3503.78</v>
      </c>
    </row>
    <row r="228" spans="1:71" x14ac:dyDescent="0.25">
      <c r="A228" t="s">
        <v>373</v>
      </c>
      <c r="B228" t="s">
        <v>98</v>
      </c>
      <c r="C228" s="2">
        <f>HYPERLINK("https://szao.dolgi.msk.ru/account/3470321304/", 3470321304)</f>
        <v>3470321304</v>
      </c>
      <c r="D228" t="s">
        <v>29</v>
      </c>
      <c r="E228">
        <v>21946.29</v>
      </c>
      <c r="AX228">
        <v>6.9</v>
      </c>
      <c r="AY228">
        <v>7.09</v>
      </c>
      <c r="AZ228" t="s">
        <v>69</v>
      </c>
      <c r="BA228" t="s">
        <v>66</v>
      </c>
      <c r="BB228">
        <v>21946.29</v>
      </c>
      <c r="BC228">
        <v>21946.29</v>
      </c>
      <c r="BD228">
        <v>21946.29</v>
      </c>
      <c r="BE228">
        <v>21946.29</v>
      </c>
      <c r="BF228">
        <v>18851.29</v>
      </c>
      <c r="BG228">
        <v>4612.32</v>
      </c>
      <c r="BH228">
        <v>6273.28</v>
      </c>
      <c r="BI228">
        <v>0</v>
      </c>
      <c r="BJ228">
        <v>0</v>
      </c>
      <c r="BK228">
        <v>4431.6899999999996</v>
      </c>
      <c r="BL228">
        <v>5382.37</v>
      </c>
      <c r="BM228">
        <v>1246.6300000000001</v>
      </c>
      <c r="BP228" s="3">
        <v>45506</v>
      </c>
      <c r="BQ228">
        <v>1903.85</v>
      </c>
    </row>
    <row r="229" spans="1:71" x14ac:dyDescent="0.25">
      <c r="A229" t="s">
        <v>373</v>
      </c>
      <c r="B229" t="s">
        <v>194</v>
      </c>
      <c r="C229" s="2">
        <f>HYPERLINK("https://szao.dolgi.msk.ru/account/3470321582/", 3470321582)</f>
        <v>3470321582</v>
      </c>
      <c r="D229" t="s">
        <v>29</v>
      </c>
      <c r="E229">
        <v>12833.68</v>
      </c>
      <c r="AX229">
        <v>4.66</v>
      </c>
      <c r="AY229">
        <v>4.63</v>
      </c>
      <c r="AZ229" t="s">
        <v>69</v>
      </c>
      <c r="BA229" t="s">
        <v>49</v>
      </c>
      <c r="BB229">
        <v>12833.68</v>
      </c>
      <c r="BC229">
        <v>12833.68</v>
      </c>
      <c r="BD229">
        <v>12833.68</v>
      </c>
      <c r="BE229">
        <v>12833.68</v>
      </c>
      <c r="BF229">
        <v>10062.61</v>
      </c>
      <c r="BG229">
        <v>3770.29</v>
      </c>
      <c r="BH229">
        <v>2112.9299999999998</v>
      </c>
      <c r="BI229">
        <v>0</v>
      </c>
      <c r="BJ229">
        <v>0</v>
      </c>
      <c r="BK229">
        <v>1622.16</v>
      </c>
      <c r="BL229">
        <v>4326.3</v>
      </c>
      <c r="BM229">
        <v>1002</v>
      </c>
      <c r="BP229" s="3">
        <v>45538</v>
      </c>
      <c r="BQ229">
        <v>4594.33</v>
      </c>
    </row>
    <row r="230" spans="1:71" x14ac:dyDescent="0.25">
      <c r="A230" t="s">
        <v>373</v>
      </c>
      <c r="B230" t="s">
        <v>374</v>
      </c>
      <c r="C230" s="2">
        <f>HYPERLINK("https://szao.dolgi.msk.ru/account/3470321806/", 3470321806)</f>
        <v>3470321806</v>
      </c>
      <c r="D230" t="s">
        <v>29</v>
      </c>
      <c r="E230">
        <v>12981.57</v>
      </c>
      <c r="AX230">
        <v>2.68</v>
      </c>
      <c r="AY230">
        <v>2.61</v>
      </c>
      <c r="AZ230" t="s">
        <v>40</v>
      </c>
      <c r="BA230" t="s">
        <v>31</v>
      </c>
      <c r="BB230">
        <v>12981.57</v>
      </c>
      <c r="BC230">
        <v>12981.57</v>
      </c>
      <c r="BD230">
        <v>12981.57</v>
      </c>
      <c r="BE230">
        <v>12981.57</v>
      </c>
      <c r="BF230">
        <v>9165.99</v>
      </c>
      <c r="BG230">
        <v>5738.2</v>
      </c>
      <c r="BH230">
        <v>2591.14</v>
      </c>
      <c r="BI230">
        <v>0</v>
      </c>
      <c r="BJ230">
        <v>0</v>
      </c>
      <c r="BK230">
        <v>1285.48</v>
      </c>
      <c r="BL230">
        <v>1898.88</v>
      </c>
      <c r="BM230">
        <v>1467.87</v>
      </c>
      <c r="BP230" s="3">
        <v>45635</v>
      </c>
      <c r="BQ230">
        <v>5399.82</v>
      </c>
    </row>
    <row r="231" spans="1:71" x14ac:dyDescent="0.25">
      <c r="A231" t="s">
        <v>373</v>
      </c>
      <c r="B231" t="s">
        <v>95</v>
      </c>
      <c r="C231" s="2">
        <f>HYPERLINK("https://szao.dolgi.msk.ru/account/3470321822/", 3470321822)</f>
        <v>3470321822</v>
      </c>
      <c r="D231" t="s">
        <v>29</v>
      </c>
      <c r="E231">
        <v>56119.77</v>
      </c>
      <c r="AX231">
        <v>8.2200000000000006</v>
      </c>
      <c r="AY231">
        <v>6.96</v>
      </c>
      <c r="AZ231" t="s">
        <v>35</v>
      </c>
      <c r="BA231" t="s">
        <v>66</v>
      </c>
      <c r="BB231">
        <v>56119.77</v>
      </c>
      <c r="BC231">
        <v>56119.77</v>
      </c>
      <c r="BD231">
        <v>56119.77</v>
      </c>
      <c r="BE231">
        <v>56119.77</v>
      </c>
      <c r="BF231">
        <v>48061</v>
      </c>
      <c r="BG231">
        <v>11845.32</v>
      </c>
      <c r="BH231">
        <v>9357.42</v>
      </c>
      <c r="BI231">
        <v>0</v>
      </c>
      <c r="BJ231">
        <v>0</v>
      </c>
      <c r="BK231">
        <v>14353.14</v>
      </c>
      <c r="BL231">
        <v>17921.78</v>
      </c>
      <c r="BM231">
        <v>2642.11</v>
      </c>
      <c r="BO231">
        <v>8058.77</v>
      </c>
      <c r="BP231" s="3">
        <v>45672</v>
      </c>
      <c r="BQ231">
        <v>8058.77</v>
      </c>
      <c r="BR231" s="3">
        <v>44890</v>
      </c>
      <c r="BS231" t="s">
        <v>375</v>
      </c>
    </row>
    <row r="232" spans="1:71" x14ac:dyDescent="0.25">
      <c r="A232" t="s">
        <v>373</v>
      </c>
      <c r="B232" t="s">
        <v>27</v>
      </c>
      <c r="C232" s="2">
        <f>HYPERLINK("https://szao.dolgi.msk.ru/account/3470322171/", 3470322171)</f>
        <v>3470322171</v>
      </c>
      <c r="D232" t="s">
        <v>29</v>
      </c>
      <c r="E232">
        <v>29371.51</v>
      </c>
      <c r="AX232">
        <v>8.9</v>
      </c>
      <c r="AY232">
        <v>9.08</v>
      </c>
      <c r="AZ232" t="s">
        <v>45</v>
      </c>
      <c r="BA232" t="s">
        <v>66</v>
      </c>
      <c r="BB232">
        <v>29371.51</v>
      </c>
      <c r="BC232">
        <v>29371.51</v>
      </c>
      <c r="BD232">
        <v>29371.51</v>
      </c>
      <c r="BE232">
        <v>29371.51</v>
      </c>
      <c r="BF232">
        <v>26136.17</v>
      </c>
      <c r="BG232">
        <v>8464.76</v>
      </c>
      <c r="BH232">
        <v>4983.3599999999997</v>
      </c>
      <c r="BI232">
        <v>0</v>
      </c>
      <c r="BJ232">
        <v>0</v>
      </c>
      <c r="BK232">
        <v>3854.56</v>
      </c>
      <c r="BL232">
        <v>9762.07</v>
      </c>
      <c r="BM232">
        <v>2306.7600000000002</v>
      </c>
      <c r="BP232" s="3">
        <v>45426</v>
      </c>
      <c r="BQ232">
        <v>2900.74</v>
      </c>
    </row>
    <row r="233" spans="1:71" x14ac:dyDescent="0.25">
      <c r="A233" t="s">
        <v>373</v>
      </c>
      <c r="B233" t="s">
        <v>376</v>
      </c>
      <c r="C233" s="2">
        <f>HYPERLINK("https://szao.dolgi.msk.ru/account/3470322235/", 3470322235)</f>
        <v>3470322235</v>
      </c>
      <c r="D233" t="s">
        <v>29</v>
      </c>
      <c r="E233">
        <v>87181.92</v>
      </c>
      <c r="AX233">
        <v>45.84</v>
      </c>
      <c r="AY233">
        <v>37.729999999999997</v>
      </c>
      <c r="AZ233" t="s">
        <v>45</v>
      </c>
      <c r="BA233" t="s">
        <v>36</v>
      </c>
      <c r="BB233">
        <v>87181.92</v>
      </c>
      <c r="BC233">
        <v>87181.92</v>
      </c>
      <c r="BD233">
        <v>87181.92</v>
      </c>
      <c r="BE233">
        <v>87181.92</v>
      </c>
      <c r="BF233">
        <v>84871.17</v>
      </c>
      <c r="BG233">
        <v>26823.32</v>
      </c>
      <c r="BH233">
        <v>14031.5</v>
      </c>
      <c r="BI233">
        <v>0</v>
      </c>
      <c r="BJ233">
        <v>0</v>
      </c>
      <c r="BK233">
        <v>11001.57</v>
      </c>
      <c r="BL233">
        <v>27958.47</v>
      </c>
      <c r="BM233">
        <v>7367.06</v>
      </c>
      <c r="BP233" s="3">
        <v>45657</v>
      </c>
      <c r="BQ233">
        <v>0</v>
      </c>
      <c r="BR233" s="3">
        <v>45632</v>
      </c>
      <c r="BS233" t="s">
        <v>377</v>
      </c>
    </row>
    <row r="234" spans="1:71" x14ac:dyDescent="0.25">
      <c r="A234" t="s">
        <v>373</v>
      </c>
      <c r="B234" t="s">
        <v>313</v>
      </c>
      <c r="C234" s="2">
        <f>HYPERLINK("https://szao.dolgi.msk.ru/account/3470322315/", 3470322315)</f>
        <v>3470322315</v>
      </c>
      <c r="D234" t="s">
        <v>29</v>
      </c>
      <c r="E234">
        <v>59055.78</v>
      </c>
      <c r="AX234">
        <v>8.65</v>
      </c>
      <c r="AY234">
        <v>9.0299999999999994</v>
      </c>
      <c r="AZ234" t="s">
        <v>40</v>
      </c>
      <c r="BA234" t="s">
        <v>66</v>
      </c>
      <c r="BB234">
        <v>59055.78</v>
      </c>
      <c r="BC234">
        <v>59055.78</v>
      </c>
      <c r="BD234">
        <v>59055.78</v>
      </c>
      <c r="BE234">
        <v>59055.78</v>
      </c>
      <c r="BF234">
        <v>52516.78</v>
      </c>
      <c r="BG234">
        <v>18167.669999999998</v>
      </c>
      <c r="BH234">
        <v>8687.8700000000008</v>
      </c>
      <c r="BI234">
        <v>0</v>
      </c>
      <c r="BJ234">
        <v>0</v>
      </c>
      <c r="BK234">
        <v>6738.61</v>
      </c>
      <c r="BL234">
        <v>20498.990000000002</v>
      </c>
      <c r="BM234">
        <v>4962.6400000000003</v>
      </c>
      <c r="BP234" s="3">
        <v>45626</v>
      </c>
      <c r="BQ234">
        <v>0</v>
      </c>
      <c r="BR234" s="3">
        <v>44959</v>
      </c>
      <c r="BS234" t="s">
        <v>378</v>
      </c>
    </row>
    <row r="235" spans="1:71" x14ac:dyDescent="0.25">
      <c r="A235" t="s">
        <v>379</v>
      </c>
      <c r="B235" t="s">
        <v>293</v>
      </c>
      <c r="C235" s="2">
        <f>HYPERLINK("https://szao.dolgi.msk.ru/account/3470054832/", 3470054832)</f>
        <v>3470054832</v>
      </c>
      <c r="D235" t="s">
        <v>29</v>
      </c>
      <c r="E235">
        <v>387357.31</v>
      </c>
      <c r="AX235">
        <v>18.48</v>
      </c>
      <c r="AY235">
        <v>16.57</v>
      </c>
      <c r="AZ235" t="s">
        <v>40</v>
      </c>
      <c r="BA235" t="s">
        <v>36</v>
      </c>
      <c r="BB235">
        <v>387357.31</v>
      </c>
      <c r="BC235">
        <v>387357.31</v>
      </c>
      <c r="BD235">
        <v>387357.31</v>
      </c>
      <c r="BE235">
        <v>387357.31</v>
      </c>
      <c r="BF235">
        <v>363975.6</v>
      </c>
      <c r="BG235">
        <v>47250.879999999997</v>
      </c>
      <c r="BH235">
        <v>43171.3</v>
      </c>
      <c r="BI235">
        <v>103399.8</v>
      </c>
      <c r="BJ235">
        <v>29496.91</v>
      </c>
      <c r="BK235">
        <v>56077.71</v>
      </c>
      <c r="BL235">
        <v>91805.82</v>
      </c>
      <c r="BM235">
        <v>16154.89</v>
      </c>
      <c r="BN235">
        <v>6811.11</v>
      </c>
      <c r="BP235" s="3">
        <v>45684</v>
      </c>
      <c r="BQ235">
        <v>6811.11</v>
      </c>
      <c r="BR235" s="3">
        <v>45638</v>
      </c>
      <c r="BS235" t="s">
        <v>128</v>
      </c>
    </row>
    <row r="236" spans="1:71" x14ac:dyDescent="0.25">
      <c r="A236" t="s">
        <v>380</v>
      </c>
      <c r="B236" t="s">
        <v>203</v>
      </c>
      <c r="C236" s="2">
        <f>HYPERLINK("https://szao.dolgi.msk.ru/account/3470055421/", 3470055421)</f>
        <v>3470055421</v>
      </c>
      <c r="D236" t="s">
        <v>29</v>
      </c>
      <c r="E236">
        <v>143393.98000000001</v>
      </c>
      <c r="AX236">
        <v>30.67</v>
      </c>
      <c r="AY236">
        <v>22.5</v>
      </c>
      <c r="AZ236" t="s">
        <v>56</v>
      </c>
      <c r="BA236" t="s">
        <v>36</v>
      </c>
      <c r="BB236">
        <v>143393.98000000001</v>
      </c>
      <c r="BC236">
        <v>143393.98000000001</v>
      </c>
      <c r="BD236">
        <v>154071.62</v>
      </c>
      <c r="BE236">
        <v>154071.62</v>
      </c>
      <c r="BF236">
        <v>137034.79999999999</v>
      </c>
      <c r="BG236">
        <v>-10677.64</v>
      </c>
      <c r="BH236">
        <v>43937.71</v>
      </c>
      <c r="BI236">
        <v>0</v>
      </c>
      <c r="BJ236">
        <v>0</v>
      </c>
      <c r="BK236">
        <v>33622.54</v>
      </c>
      <c r="BL236">
        <v>67548.320000000007</v>
      </c>
      <c r="BM236">
        <v>8963.0499999999993</v>
      </c>
      <c r="BP236" s="3">
        <v>45280</v>
      </c>
      <c r="BQ236">
        <v>0</v>
      </c>
      <c r="BR236" s="3">
        <v>45098</v>
      </c>
      <c r="BS236" t="s">
        <v>381</v>
      </c>
    </row>
    <row r="237" spans="1:71" x14ac:dyDescent="0.25">
      <c r="A237" t="s">
        <v>380</v>
      </c>
      <c r="B237" t="s">
        <v>39</v>
      </c>
      <c r="C237" s="2">
        <f>HYPERLINK("https://szao.dolgi.msk.ru/account/3470547549/", 3470547549)</f>
        <v>3470547549</v>
      </c>
      <c r="D237" t="s">
        <v>29</v>
      </c>
      <c r="E237">
        <v>60177.29</v>
      </c>
      <c r="AX237">
        <v>22.3</v>
      </c>
      <c r="AY237">
        <v>23.62</v>
      </c>
      <c r="AZ237" t="s">
        <v>69</v>
      </c>
      <c r="BA237" t="s">
        <v>36</v>
      </c>
      <c r="BB237">
        <v>60177.29</v>
      </c>
      <c r="BC237">
        <v>60177.29</v>
      </c>
      <c r="BD237">
        <v>60177.29</v>
      </c>
      <c r="BE237">
        <v>60177.29</v>
      </c>
      <c r="BF237">
        <v>57629.37</v>
      </c>
      <c r="BG237">
        <v>9045.85</v>
      </c>
      <c r="BH237">
        <v>14489.96</v>
      </c>
      <c r="BI237">
        <v>0</v>
      </c>
      <c r="BJ237">
        <v>0</v>
      </c>
      <c r="BK237">
        <v>11023.35</v>
      </c>
      <c r="BL237">
        <v>21896.95</v>
      </c>
      <c r="BM237">
        <v>3721.18</v>
      </c>
      <c r="BP237" s="3">
        <v>45509</v>
      </c>
      <c r="BQ237">
        <v>0</v>
      </c>
      <c r="BR237" s="3">
        <v>45635</v>
      </c>
      <c r="BS237" t="s">
        <v>382</v>
      </c>
    </row>
    <row r="238" spans="1:71" x14ac:dyDescent="0.25">
      <c r="A238" t="s">
        <v>380</v>
      </c>
      <c r="B238" t="s">
        <v>124</v>
      </c>
      <c r="C238" s="2">
        <f>HYPERLINK("https://szao.dolgi.msk.ru/account/3470542879/", 3470542879)</f>
        <v>3470542879</v>
      </c>
      <c r="D238" t="s">
        <v>29</v>
      </c>
      <c r="E238">
        <v>31967.61</v>
      </c>
      <c r="AX238">
        <v>6.22</v>
      </c>
      <c r="AY238">
        <v>6.05</v>
      </c>
      <c r="AZ238" t="s">
        <v>40</v>
      </c>
      <c r="BA238" t="s">
        <v>66</v>
      </c>
      <c r="BB238">
        <v>31967.61</v>
      </c>
      <c r="BC238">
        <v>31967.61</v>
      </c>
      <c r="BD238">
        <v>31967.61</v>
      </c>
      <c r="BE238">
        <v>31967.61</v>
      </c>
      <c r="BF238">
        <v>29290.16</v>
      </c>
      <c r="BG238">
        <v>6745.04</v>
      </c>
      <c r="BH238">
        <v>6594.33</v>
      </c>
      <c r="BI238">
        <v>0</v>
      </c>
      <c r="BJ238">
        <v>0</v>
      </c>
      <c r="BK238">
        <v>5228</v>
      </c>
      <c r="BL238">
        <v>11721.08</v>
      </c>
      <c r="BM238">
        <v>1679.16</v>
      </c>
      <c r="BN238">
        <v>2604.3000000000002</v>
      </c>
      <c r="BP238" s="3">
        <v>45692</v>
      </c>
      <c r="BQ238">
        <v>2604.3000000000002</v>
      </c>
      <c r="BR238" s="3">
        <v>45588</v>
      </c>
      <c r="BS238" t="s">
        <v>383</v>
      </c>
    </row>
    <row r="239" spans="1:71" x14ac:dyDescent="0.25">
      <c r="A239" t="s">
        <v>384</v>
      </c>
      <c r="B239" t="s">
        <v>385</v>
      </c>
      <c r="C239" s="2">
        <f>HYPERLINK("https://szao.dolgi.msk.ru/account/3470056109/", 3470056109)</f>
        <v>3470056109</v>
      </c>
      <c r="D239" t="s">
        <v>29</v>
      </c>
      <c r="E239">
        <v>12765</v>
      </c>
      <c r="AX239">
        <v>3.12</v>
      </c>
      <c r="AY239">
        <v>2.86</v>
      </c>
      <c r="AZ239" t="s">
        <v>30</v>
      </c>
      <c r="BA239" t="s">
        <v>49</v>
      </c>
      <c r="BB239">
        <v>12765</v>
      </c>
      <c r="BC239">
        <v>12765</v>
      </c>
      <c r="BD239">
        <v>12765</v>
      </c>
      <c r="BE239">
        <v>12765</v>
      </c>
      <c r="BF239">
        <v>8294.92</v>
      </c>
      <c r="BG239">
        <v>4139.08</v>
      </c>
      <c r="BH239">
        <v>1338.05</v>
      </c>
      <c r="BI239">
        <v>0</v>
      </c>
      <c r="BJ239">
        <v>0</v>
      </c>
      <c r="BK239">
        <v>1027.27</v>
      </c>
      <c r="BL239">
        <v>5322.14</v>
      </c>
      <c r="BM239">
        <v>938.46</v>
      </c>
      <c r="BP239" s="3">
        <v>45651</v>
      </c>
      <c r="BQ239">
        <v>16100.75</v>
      </c>
    </row>
    <row r="240" spans="1:71" x14ac:dyDescent="0.25">
      <c r="A240" t="s">
        <v>386</v>
      </c>
      <c r="B240" t="s">
        <v>344</v>
      </c>
      <c r="C240" s="2">
        <f>HYPERLINK("https://szao.dolgi.msk.ru/account/3470296647/", 3470296647)</f>
        <v>3470296647</v>
      </c>
      <c r="D240" t="s">
        <v>29</v>
      </c>
      <c r="E240">
        <v>4440.05</v>
      </c>
      <c r="AX240">
        <v>6.1</v>
      </c>
      <c r="AY240">
        <v>1.9</v>
      </c>
      <c r="AZ240" t="s">
        <v>40</v>
      </c>
      <c r="BA240" t="s">
        <v>66</v>
      </c>
      <c r="BB240">
        <v>4440.05</v>
      </c>
      <c r="BC240">
        <v>4440.05</v>
      </c>
      <c r="BD240">
        <v>4440.05</v>
      </c>
      <c r="BE240">
        <v>4440.05</v>
      </c>
      <c r="BF240">
        <v>2099.85</v>
      </c>
      <c r="BG240">
        <v>1593.71</v>
      </c>
      <c r="BH240">
        <v>16.98</v>
      </c>
      <c r="BI240">
        <v>0</v>
      </c>
      <c r="BJ240">
        <v>0</v>
      </c>
      <c r="BK240">
        <v>13.32</v>
      </c>
      <c r="BL240">
        <v>2467.42</v>
      </c>
      <c r="BM240">
        <v>348.62</v>
      </c>
      <c r="BP240" s="3">
        <v>45653</v>
      </c>
      <c r="BQ240">
        <v>2069.5500000000002</v>
      </c>
    </row>
    <row r="241" spans="1:71" x14ac:dyDescent="0.25">
      <c r="A241" t="s">
        <v>387</v>
      </c>
      <c r="B241" t="s">
        <v>388</v>
      </c>
      <c r="C241" s="2">
        <f>HYPERLINK("https://szao.dolgi.msk.ru/account/3470057486/", 3470057486)</f>
        <v>3470057486</v>
      </c>
      <c r="D241" t="s">
        <v>29</v>
      </c>
      <c r="E241">
        <v>12462.82</v>
      </c>
      <c r="AX241">
        <v>2.02</v>
      </c>
      <c r="AY241">
        <v>2.0699999999999998</v>
      </c>
      <c r="AZ241" t="s">
        <v>40</v>
      </c>
      <c r="BA241" t="s">
        <v>31</v>
      </c>
      <c r="BB241">
        <v>12462.82</v>
      </c>
      <c r="BC241">
        <v>12462.82</v>
      </c>
      <c r="BD241">
        <v>12462.82</v>
      </c>
      <c r="BE241">
        <v>12462.82</v>
      </c>
      <c r="BF241">
        <v>6450.68</v>
      </c>
      <c r="BG241">
        <v>3360.2</v>
      </c>
      <c r="BH241">
        <v>1978.01</v>
      </c>
      <c r="BI241">
        <v>0</v>
      </c>
      <c r="BJ241">
        <v>0</v>
      </c>
      <c r="BK241">
        <v>1518.57</v>
      </c>
      <c r="BL241">
        <v>4871</v>
      </c>
      <c r="BM241">
        <v>735.04</v>
      </c>
      <c r="BP241" s="3">
        <v>45643</v>
      </c>
      <c r="BQ241">
        <v>5419.97</v>
      </c>
    </row>
    <row r="242" spans="1:71" x14ac:dyDescent="0.25">
      <c r="A242" t="s">
        <v>387</v>
      </c>
      <c r="B242" t="s">
        <v>215</v>
      </c>
      <c r="C242" s="2">
        <f>HYPERLINK("https://szao.dolgi.msk.ru/account/3470610536/", 3470610536)</f>
        <v>3470610536</v>
      </c>
      <c r="D242" t="s">
        <v>29</v>
      </c>
      <c r="E242">
        <v>19123.97</v>
      </c>
      <c r="AX242">
        <v>3.6</v>
      </c>
      <c r="AY242">
        <v>3.56</v>
      </c>
      <c r="AZ242" t="s">
        <v>69</v>
      </c>
      <c r="BA242" t="s">
        <v>49</v>
      </c>
      <c r="BB242">
        <v>19123.97</v>
      </c>
      <c r="BC242">
        <v>19123.97</v>
      </c>
      <c r="BD242">
        <v>19123.97</v>
      </c>
      <c r="BE242">
        <v>19123.97</v>
      </c>
      <c r="BF242">
        <v>14514.76</v>
      </c>
      <c r="BG242">
        <v>6112.94</v>
      </c>
      <c r="BH242">
        <v>1055.6500000000001</v>
      </c>
      <c r="BI242">
        <v>0</v>
      </c>
      <c r="BJ242">
        <v>0</v>
      </c>
      <c r="BK242">
        <v>810.46</v>
      </c>
      <c r="BL242">
        <v>9683.64</v>
      </c>
      <c r="BM242">
        <v>1461.28</v>
      </c>
    </row>
    <row r="243" spans="1:71" x14ac:dyDescent="0.25">
      <c r="A243" t="s">
        <v>387</v>
      </c>
      <c r="B243" t="s">
        <v>389</v>
      </c>
      <c r="C243" s="2">
        <f>HYPERLINK("https://szao.dolgi.msk.ru/account/3470057144/", 3470057144)</f>
        <v>3470057144</v>
      </c>
      <c r="D243" t="s">
        <v>29</v>
      </c>
      <c r="E243">
        <v>66133.59</v>
      </c>
      <c r="AX243">
        <v>11.74</v>
      </c>
      <c r="AY243">
        <v>11.32</v>
      </c>
      <c r="AZ243" t="s">
        <v>45</v>
      </c>
      <c r="BA243" t="s">
        <v>63</v>
      </c>
      <c r="BB243">
        <v>66133.59</v>
      </c>
      <c r="BC243">
        <v>66133.59</v>
      </c>
      <c r="BD243">
        <v>66133.59</v>
      </c>
      <c r="BE243">
        <v>66133.59</v>
      </c>
      <c r="BF243">
        <v>61806.52</v>
      </c>
      <c r="BG243">
        <v>19401.919999999998</v>
      </c>
      <c r="BH243">
        <v>3967.64</v>
      </c>
      <c r="BI243">
        <v>0</v>
      </c>
      <c r="BJ243">
        <v>0</v>
      </c>
      <c r="BK243">
        <v>4259.0200000000004</v>
      </c>
      <c r="BL243">
        <v>33288.65</v>
      </c>
      <c r="BM243">
        <v>5216.3599999999997</v>
      </c>
      <c r="BN243">
        <v>1516.49</v>
      </c>
      <c r="BP243" s="3">
        <v>45689</v>
      </c>
      <c r="BQ243">
        <v>1516.49</v>
      </c>
      <c r="BR243" s="3">
        <v>45622</v>
      </c>
      <c r="BS243" t="s">
        <v>390</v>
      </c>
    </row>
    <row r="244" spans="1:71" x14ac:dyDescent="0.25">
      <c r="A244" t="s">
        <v>391</v>
      </c>
      <c r="B244" t="s">
        <v>28</v>
      </c>
      <c r="C244" s="2">
        <f>HYPERLINK("https://szao.dolgi.msk.ru/account/3470313427/", 3470313427)</f>
        <v>3470313427</v>
      </c>
      <c r="D244" t="s">
        <v>29</v>
      </c>
      <c r="E244">
        <v>5683.05</v>
      </c>
      <c r="AX244">
        <v>6.37</v>
      </c>
      <c r="AY244">
        <v>2.9</v>
      </c>
      <c r="AZ244" t="s">
        <v>40</v>
      </c>
      <c r="BA244" t="s">
        <v>66</v>
      </c>
      <c r="BB244">
        <v>5683.05</v>
      </c>
      <c r="BC244">
        <v>5683.05</v>
      </c>
      <c r="BD244">
        <v>5683.05</v>
      </c>
      <c r="BE244">
        <v>5683.05</v>
      </c>
      <c r="BF244">
        <v>3726.38</v>
      </c>
      <c r="BG244">
        <v>1341.67</v>
      </c>
      <c r="BH244">
        <v>278.02999999999997</v>
      </c>
      <c r="BI244">
        <v>897.12</v>
      </c>
      <c r="BJ244">
        <v>422.92</v>
      </c>
      <c r="BK244">
        <v>399.49</v>
      </c>
      <c r="BL244">
        <v>2050.34</v>
      </c>
      <c r="BM244">
        <v>293.48</v>
      </c>
      <c r="BP244" s="3">
        <v>45653</v>
      </c>
      <c r="BQ244">
        <v>1728.82</v>
      </c>
      <c r="BR244" s="3">
        <v>44860</v>
      </c>
      <c r="BS244" t="s">
        <v>392</v>
      </c>
    </row>
    <row r="245" spans="1:71" x14ac:dyDescent="0.25">
      <c r="A245" t="s">
        <v>391</v>
      </c>
      <c r="B245" t="s">
        <v>48</v>
      </c>
      <c r="C245" s="2">
        <f>HYPERLINK("https://szao.dolgi.msk.ru/account/3470057689/", 3470057689)</f>
        <v>3470057689</v>
      </c>
      <c r="D245" t="s">
        <v>29</v>
      </c>
      <c r="E245">
        <v>28634.38</v>
      </c>
      <c r="AX245">
        <v>2.82</v>
      </c>
      <c r="AY245">
        <v>2.84</v>
      </c>
      <c r="AZ245" t="s">
        <v>40</v>
      </c>
      <c r="BA245" t="s">
        <v>31</v>
      </c>
      <c r="BB245">
        <v>28634.38</v>
      </c>
      <c r="BC245">
        <v>28634.38</v>
      </c>
      <c r="BD245">
        <v>28634.38</v>
      </c>
      <c r="BE245">
        <v>28634.38</v>
      </c>
      <c r="BF245">
        <v>18564.89</v>
      </c>
      <c r="BG245">
        <v>6994.87</v>
      </c>
      <c r="BH245">
        <v>1315.6</v>
      </c>
      <c r="BI245">
        <v>4246.8</v>
      </c>
      <c r="BJ245">
        <v>1196</v>
      </c>
      <c r="BK245">
        <v>1928.22</v>
      </c>
      <c r="BL245">
        <v>11330.97</v>
      </c>
      <c r="BM245">
        <v>1621.92</v>
      </c>
      <c r="BP245" s="3">
        <v>45636</v>
      </c>
      <c r="BQ245">
        <v>8381.61</v>
      </c>
    </row>
    <row r="246" spans="1:71" x14ac:dyDescent="0.25">
      <c r="A246" t="s">
        <v>391</v>
      </c>
      <c r="B246" t="s">
        <v>139</v>
      </c>
      <c r="C246" s="2">
        <f>HYPERLINK("https://szao.dolgi.msk.ru/account/3470057806/", 3470057806)</f>
        <v>3470057806</v>
      </c>
      <c r="D246" t="s">
        <v>29</v>
      </c>
      <c r="E246">
        <v>32427.09</v>
      </c>
      <c r="AX246">
        <v>2.95</v>
      </c>
      <c r="AY246">
        <v>2.77</v>
      </c>
      <c r="AZ246" t="s">
        <v>30</v>
      </c>
      <c r="BA246" t="s">
        <v>31</v>
      </c>
      <c r="BB246">
        <v>32427.09</v>
      </c>
      <c r="BC246">
        <v>32427.09</v>
      </c>
      <c r="BD246">
        <v>32427.09</v>
      </c>
      <c r="BE246">
        <v>32427.09</v>
      </c>
      <c r="BF246">
        <v>20733.71</v>
      </c>
      <c r="BG246">
        <v>8070.89</v>
      </c>
      <c r="BH246">
        <v>1267.8</v>
      </c>
      <c r="BI246">
        <v>3473.18</v>
      </c>
      <c r="BJ246">
        <v>984.42</v>
      </c>
      <c r="BK246">
        <v>1720.92</v>
      </c>
      <c r="BL246">
        <v>14750.29</v>
      </c>
      <c r="BM246">
        <v>2159.59</v>
      </c>
      <c r="BN246">
        <v>10853.94</v>
      </c>
      <c r="BO246">
        <v>11693.38</v>
      </c>
      <c r="BP246" s="3">
        <v>45687</v>
      </c>
      <c r="BQ246">
        <v>22547.32</v>
      </c>
    </row>
    <row r="247" spans="1:71" x14ac:dyDescent="0.25">
      <c r="A247" t="s">
        <v>393</v>
      </c>
      <c r="B247" t="s">
        <v>48</v>
      </c>
      <c r="C247" s="2">
        <f>HYPERLINK("https://szao.dolgi.msk.ru/account/3470058104/", 3470058104)</f>
        <v>3470058104</v>
      </c>
      <c r="D247" t="s">
        <v>29</v>
      </c>
      <c r="E247">
        <v>12277.74</v>
      </c>
      <c r="AX247">
        <v>2.4700000000000002</v>
      </c>
      <c r="AY247">
        <v>2.67</v>
      </c>
      <c r="AZ247" t="s">
        <v>40</v>
      </c>
      <c r="BA247" t="s">
        <v>31</v>
      </c>
      <c r="BB247">
        <v>12277.74</v>
      </c>
      <c r="BC247">
        <v>12277.74</v>
      </c>
      <c r="BD247">
        <v>12277.74</v>
      </c>
      <c r="BE247">
        <v>12277.74</v>
      </c>
      <c r="BF247">
        <v>11517.22</v>
      </c>
      <c r="BG247">
        <v>4429.6499999999996</v>
      </c>
      <c r="BH247">
        <v>2277.8200000000002</v>
      </c>
      <c r="BI247">
        <v>0</v>
      </c>
      <c r="BJ247">
        <v>0</v>
      </c>
      <c r="BK247">
        <v>1761.79</v>
      </c>
      <c r="BL247">
        <v>3285.67</v>
      </c>
      <c r="BM247">
        <v>522.80999999999995</v>
      </c>
      <c r="BN247">
        <v>3839.42</v>
      </c>
      <c r="BP247" s="3">
        <v>45695</v>
      </c>
      <c r="BQ247">
        <v>3839.42</v>
      </c>
      <c r="BR247" s="3">
        <v>45505</v>
      </c>
      <c r="BS247" t="s">
        <v>394</v>
      </c>
    </row>
    <row r="248" spans="1:71" x14ac:dyDescent="0.25">
      <c r="A248" t="s">
        <v>393</v>
      </c>
      <c r="B248" t="s">
        <v>173</v>
      </c>
      <c r="C248" s="2">
        <f>HYPERLINK("https://szao.dolgi.msk.ru/account/3470057873/", 3470057873)</f>
        <v>3470057873</v>
      </c>
      <c r="D248" t="s">
        <v>29</v>
      </c>
      <c r="E248">
        <v>33042.550000000003</v>
      </c>
      <c r="AX248">
        <v>3.36</v>
      </c>
      <c r="AY248">
        <v>3.43</v>
      </c>
      <c r="AZ248" t="s">
        <v>30</v>
      </c>
      <c r="BA248" t="s">
        <v>49</v>
      </c>
      <c r="BB248">
        <v>33042.550000000003</v>
      </c>
      <c r="BC248">
        <v>33042.550000000003</v>
      </c>
      <c r="BD248">
        <v>33042.550000000003</v>
      </c>
      <c r="BE248">
        <v>33042.550000000003</v>
      </c>
      <c r="BF248">
        <v>20381.07</v>
      </c>
      <c r="BG248">
        <v>4757.78</v>
      </c>
      <c r="BH248">
        <v>11308.97</v>
      </c>
      <c r="BI248">
        <v>0</v>
      </c>
      <c r="BJ248">
        <v>0</v>
      </c>
      <c r="BK248">
        <v>8667.51</v>
      </c>
      <c r="BL248">
        <v>7197.18</v>
      </c>
      <c r="BM248">
        <v>1111.1099999999999</v>
      </c>
      <c r="BP248" s="3">
        <v>45603</v>
      </c>
      <c r="BQ248">
        <v>12763.51</v>
      </c>
    </row>
    <row r="249" spans="1:71" x14ac:dyDescent="0.25">
      <c r="A249" t="s">
        <v>393</v>
      </c>
      <c r="B249" t="s">
        <v>296</v>
      </c>
      <c r="C249" s="2">
        <f>HYPERLINK("https://szao.dolgi.msk.ru/account/3470057988/", 3470057988)</f>
        <v>3470057988</v>
      </c>
      <c r="D249" t="s">
        <v>29</v>
      </c>
      <c r="E249">
        <v>235910.49</v>
      </c>
      <c r="AX249">
        <v>34.85</v>
      </c>
      <c r="AY249">
        <v>29.66</v>
      </c>
      <c r="AZ249" t="s">
        <v>56</v>
      </c>
      <c r="BA249" t="s">
        <v>36</v>
      </c>
      <c r="BB249">
        <v>235910.49</v>
      </c>
      <c r="BC249">
        <v>235910.49</v>
      </c>
      <c r="BD249">
        <v>235910.49</v>
      </c>
      <c r="BE249">
        <v>235910.49</v>
      </c>
      <c r="BF249">
        <v>227957.12</v>
      </c>
      <c r="BG249">
        <v>61845.7</v>
      </c>
      <c r="BH249">
        <v>44065.11</v>
      </c>
      <c r="BI249">
        <v>0</v>
      </c>
      <c r="BJ249">
        <v>0</v>
      </c>
      <c r="BK249">
        <v>14445.92</v>
      </c>
      <c r="BL249">
        <v>101704.45</v>
      </c>
      <c r="BM249">
        <v>13849.31</v>
      </c>
      <c r="BP249" s="3">
        <v>45260</v>
      </c>
      <c r="BQ249">
        <v>0</v>
      </c>
      <c r="BR249" s="3">
        <v>45267</v>
      </c>
      <c r="BS249" t="s">
        <v>128</v>
      </c>
    </row>
    <row r="250" spans="1:71" x14ac:dyDescent="0.25">
      <c r="A250" t="s">
        <v>393</v>
      </c>
      <c r="B250" t="s">
        <v>311</v>
      </c>
      <c r="C250" s="2">
        <f>HYPERLINK("https://szao.dolgi.msk.ru/account/3470057996/", 3470057996)</f>
        <v>3470057996</v>
      </c>
      <c r="D250" t="s">
        <v>29</v>
      </c>
      <c r="E250">
        <v>115763.82</v>
      </c>
      <c r="AX250">
        <v>20.260000000000002</v>
      </c>
      <c r="AY250">
        <v>17.940000000000001</v>
      </c>
      <c r="AZ250" t="s">
        <v>56</v>
      </c>
      <c r="BA250" t="s">
        <v>36</v>
      </c>
      <c r="BB250">
        <v>115763.82</v>
      </c>
      <c r="BC250">
        <v>115763.82</v>
      </c>
      <c r="BD250">
        <v>115763.82</v>
      </c>
      <c r="BE250">
        <v>115763.82</v>
      </c>
      <c r="BF250">
        <v>109311.84</v>
      </c>
      <c r="BG250">
        <v>32152.83</v>
      </c>
      <c r="BH250">
        <v>8842.6200000000008</v>
      </c>
      <c r="BI250">
        <v>0</v>
      </c>
      <c r="BJ250">
        <v>0</v>
      </c>
      <c r="BK250">
        <v>8270.27</v>
      </c>
      <c r="BL250">
        <v>57255.25</v>
      </c>
      <c r="BM250">
        <v>9242.85</v>
      </c>
      <c r="BP250" s="3">
        <v>45417</v>
      </c>
      <c r="BQ250">
        <v>220</v>
      </c>
      <c r="BR250" s="3">
        <v>45666</v>
      </c>
      <c r="BS250" t="s">
        <v>395</v>
      </c>
    </row>
    <row r="251" spans="1:71" x14ac:dyDescent="0.25">
      <c r="A251" t="s">
        <v>393</v>
      </c>
      <c r="B251" t="s">
        <v>287</v>
      </c>
      <c r="C251" s="2">
        <f>HYPERLINK("https://szao.dolgi.msk.ru/account/3470058024/", 3470058024)</f>
        <v>3470058024</v>
      </c>
      <c r="D251" t="s">
        <v>29</v>
      </c>
      <c r="E251">
        <v>91764.94</v>
      </c>
      <c r="AX251">
        <v>22.04</v>
      </c>
      <c r="AY251">
        <v>17.420000000000002</v>
      </c>
      <c r="AZ251" t="s">
        <v>35</v>
      </c>
      <c r="BA251" t="s">
        <v>36</v>
      </c>
      <c r="BB251">
        <v>91764.94</v>
      </c>
      <c r="BC251">
        <v>91764.94</v>
      </c>
      <c r="BD251">
        <v>91764.94</v>
      </c>
      <c r="BE251">
        <v>91764.94</v>
      </c>
      <c r="BF251">
        <v>91079.57</v>
      </c>
      <c r="BG251">
        <v>30423.18</v>
      </c>
      <c r="BH251">
        <v>9032.4699999999993</v>
      </c>
      <c r="BI251">
        <v>0</v>
      </c>
      <c r="BJ251">
        <v>0</v>
      </c>
      <c r="BK251">
        <v>2684.95</v>
      </c>
      <c r="BL251">
        <v>43704.97</v>
      </c>
      <c r="BM251">
        <v>5919.37</v>
      </c>
      <c r="BN251">
        <v>4583.4799999999996</v>
      </c>
      <c r="BP251" s="3">
        <v>45694</v>
      </c>
      <c r="BQ251">
        <v>4583.4799999999996</v>
      </c>
      <c r="BR251" s="3">
        <v>45006</v>
      </c>
      <c r="BS251" t="s">
        <v>396</v>
      </c>
    </row>
    <row r="252" spans="1:71" x14ac:dyDescent="0.25">
      <c r="A252" t="s">
        <v>393</v>
      </c>
      <c r="B252" t="s">
        <v>103</v>
      </c>
      <c r="C252" s="2">
        <f>HYPERLINK("https://szao.dolgi.msk.ru/account/3470058075/", 3470058075)</f>
        <v>3470058075</v>
      </c>
      <c r="D252" t="s">
        <v>29</v>
      </c>
      <c r="E252">
        <v>11357.42</v>
      </c>
      <c r="AX252">
        <v>9.8800000000000008</v>
      </c>
      <c r="AY252">
        <v>2.19</v>
      </c>
      <c r="AZ252" t="s">
        <v>40</v>
      </c>
      <c r="BA252" t="s">
        <v>63</v>
      </c>
      <c r="BB252">
        <v>11357.42</v>
      </c>
      <c r="BC252">
        <v>11357.42</v>
      </c>
      <c r="BD252">
        <v>11357.42</v>
      </c>
      <c r="BE252">
        <v>11357.42</v>
      </c>
      <c r="BF252">
        <v>6182.84</v>
      </c>
      <c r="BG252">
        <v>3688.85</v>
      </c>
      <c r="BH252">
        <v>942.25</v>
      </c>
      <c r="BI252">
        <v>0</v>
      </c>
      <c r="BJ252">
        <v>0</v>
      </c>
      <c r="BK252">
        <v>692.46</v>
      </c>
      <c r="BL252">
        <v>5226.9399999999996</v>
      </c>
      <c r="BM252">
        <v>806.92</v>
      </c>
      <c r="BP252" s="3">
        <v>45653</v>
      </c>
      <c r="BQ252">
        <v>4548.13</v>
      </c>
    </row>
    <row r="253" spans="1:71" x14ac:dyDescent="0.25">
      <c r="A253" t="s">
        <v>393</v>
      </c>
      <c r="B253" t="s">
        <v>397</v>
      </c>
      <c r="C253" s="2">
        <f>HYPERLINK("https://szao.dolgi.msk.ru/account/3470296911/", 3470296911)</f>
        <v>3470296911</v>
      </c>
      <c r="D253" t="s">
        <v>29</v>
      </c>
      <c r="E253">
        <v>84711.95</v>
      </c>
      <c r="AX253">
        <v>17.559999999999999</v>
      </c>
      <c r="AY253">
        <v>11.56</v>
      </c>
      <c r="AZ253" t="s">
        <v>45</v>
      </c>
      <c r="BA253" t="s">
        <v>36</v>
      </c>
      <c r="BB253">
        <v>84711.95</v>
      </c>
      <c r="BC253">
        <v>84711.95</v>
      </c>
      <c r="BD253">
        <v>84711.95</v>
      </c>
      <c r="BE253">
        <v>84711.95</v>
      </c>
      <c r="BF253">
        <v>71875.97</v>
      </c>
      <c r="BG253">
        <v>17797.57</v>
      </c>
      <c r="BH253">
        <v>18291.509999999998</v>
      </c>
      <c r="BI253">
        <v>0</v>
      </c>
      <c r="BJ253">
        <v>0</v>
      </c>
      <c r="BK253">
        <v>15146.01</v>
      </c>
      <c r="BL253">
        <v>29404.37</v>
      </c>
      <c r="BM253">
        <v>4072.49</v>
      </c>
      <c r="BP253" s="3">
        <v>45443</v>
      </c>
      <c r="BQ253">
        <v>0</v>
      </c>
      <c r="BR253" s="3">
        <v>45051</v>
      </c>
      <c r="BS253" t="s">
        <v>398</v>
      </c>
    </row>
    <row r="254" spans="1:71" x14ac:dyDescent="0.25">
      <c r="A254" t="s">
        <v>399</v>
      </c>
      <c r="B254" t="s">
        <v>136</v>
      </c>
      <c r="C254" s="2">
        <f>HYPERLINK("https://szao.dolgi.msk.ru/account/3470532494/", 3470532494)</f>
        <v>3470532494</v>
      </c>
      <c r="D254" t="s">
        <v>29</v>
      </c>
      <c r="E254">
        <v>101910.07</v>
      </c>
      <c r="AX254">
        <v>26.29</v>
      </c>
      <c r="AY254">
        <v>23.97</v>
      </c>
      <c r="AZ254" t="s">
        <v>69</v>
      </c>
      <c r="BA254" t="s">
        <v>36</v>
      </c>
      <c r="BB254">
        <v>101910.07</v>
      </c>
      <c r="BC254">
        <v>101910.07</v>
      </c>
      <c r="BD254">
        <v>101910.07</v>
      </c>
      <c r="BE254">
        <v>101910.07</v>
      </c>
      <c r="BF254">
        <v>97657.66</v>
      </c>
      <c r="BG254">
        <v>37562.129999999997</v>
      </c>
      <c r="BH254">
        <v>11693.76</v>
      </c>
      <c r="BI254">
        <v>0</v>
      </c>
      <c r="BJ254">
        <v>0</v>
      </c>
      <c r="BK254">
        <v>3387.91</v>
      </c>
      <c r="BL254">
        <v>41753.74</v>
      </c>
      <c r="BM254">
        <v>7512.53</v>
      </c>
      <c r="BP254" s="3">
        <v>45618</v>
      </c>
      <c r="BQ254">
        <v>57.32</v>
      </c>
      <c r="BR254" s="3">
        <v>45618</v>
      </c>
      <c r="BS254" t="s">
        <v>400</v>
      </c>
    </row>
    <row r="255" spans="1:71" x14ac:dyDescent="0.25">
      <c r="A255" t="s">
        <v>399</v>
      </c>
      <c r="B255" t="s">
        <v>296</v>
      </c>
      <c r="C255" s="2">
        <f>HYPERLINK("https://szao.dolgi.msk.ru/account/3470337402/", 3470337402)</f>
        <v>3470337402</v>
      </c>
      <c r="D255" t="s">
        <v>29</v>
      </c>
      <c r="E255">
        <v>19681.310000000001</v>
      </c>
      <c r="AX255">
        <v>3.87</v>
      </c>
      <c r="AY255">
        <v>3.89</v>
      </c>
      <c r="AZ255" t="s">
        <v>69</v>
      </c>
      <c r="BA255" t="s">
        <v>49</v>
      </c>
      <c r="BB255">
        <v>19681.310000000001</v>
      </c>
      <c r="BC255">
        <v>19681.310000000001</v>
      </c>
      <c r="BD255">
        <v>19681.310000000001</v>
      </c>
      <c r="BE255">
        <v>19681.310000000001</v>
      </c>
      <c r="BF255">
        <v>14621.13</v>
      </c>
      <c r="BG255">
        <v>2591.71</v>
      </c>
      <c r="BH255">
        <v>7075.52</v>
      </c>
      <c r="BI255">
        <v>0</v>
      </c>
      <c r="BJ255">
        <v>0</v>
      </c>
      <c r="BK255">
        <v>5432.08</v>
      </c>
      <c r="BL255">
        <v>3903.12</v>
      </c>
      <c r="BM255">
        <v>678.88</v>
      </c>
      <c r="BP255" s="3">
        <v>45588</v>
      </c>
      <c r="BQ255">
        <v>18026.080000000002</v>
      </c>
      <c r="BR255" s="3">
        <v>45505</v>
      </c>
      <c r="BS255" t="s">
        <v>401</v>
      </c>
    </row>
    <row r="256" spans="1:71" x14ac:dyDescent="0.25">
      <c r="A256" t="s">
        <v>399</v>
      </c>
      <c r="B256" t="s">
        <v>227</v>
      </c>
      <c r="C256" s="2">
        <f>HYPERLINK("https://szao.dolgi.msk.ru/account/3470059078/", 3470059078)</f>
        <v>3470059078</v>
      </c>
      <c r="D256" t="s">
        <v>29</v>
      </c>
      <c r="E256">
        <v>30980.33</v>
      </c>
      <c r="AX256">
        <v>3.62</v>
      </c>
      <c r="AY256">
        <v>3.65</v>
      </c>
      <c r="AZ256" t="s">
        <v>35</v>
      </c>
      <c r="BA256" t="s">
        <v>49</v>
      </c>
      <c r="BB256">
        <v>30980.33</v>
      </c>
      <c r="BC256">
        <v>30980.33</v>
      </c>
      <c r="BD256">
        <v>30980.33</v>
      </c>
      <c r="BE256">
        <v>30980.33</v>
      </c>
      <c r="BF256">
        <v>22494.91</v>
      </c>
      <c r="BG256">
        <v>7838.89</v>
      </c>
      <c r="BH256">
        <v>4643.34</v>
      </c>
      <c r="BI256">
        <v>0</v>
      </c>
      <c r="BJ256">
        <v>0</v>
      </c>
      <c r="BK256">
        <v>3564.82</v>
      </c>
      <c r="BL256">
        <v>12720.72</v>
      </c>
      <c r="BM256">
        <v>2212.56</v>
      </c>
      <c r="BN256">
        <v>3504.77</v>
      </c>
      <c r="BO256">
        <v>8485.42</v>
      </c>
      <c r="BP256" s="3">
        <v>45674</v>
      </c>
      <c r="BQ256">
        <v>11990.19</v>
      </c>
      <c r="BR256" s="3">
        <v>45638</v>
      </c>
      <c r="BS256" t="s">
        <v>402</v>
      </c>
    </row>
    <row r="257" spans="1:71" x14ac:dyDescent="0.25">
      <c r="A257" t="s">
        <v>403</v>
      </c>
      <c r="B257" t="s">
        <v>124</v>
      </c>
      <c r="C257" s="2">
        <f>HYPERLINK("https://szao.dolgi.msk.ru/account/3470060351/", 3470060351)</f>
        <v>3470060351</v>
      </c>
      <c r="D257" t="s">
        <v>29</v>
      </c>
      <c r="E257">
        <v>27016.26</v>
      </c>
      <c r="AX257">
        <v>5.24</v>
      </c>
      <c r="AY257">
        <v>5.16</v>
      </c>
      <c r="AZ257" t="s">
        <v>30</v>
      </c>
      <c r="BA257" t="s">
        <v>49</v>
      </c>
      <c r="BB257">
        <v>27016.26</v>
      </c>
      <c r="BC257">
        <v>27016.26</v>
      </c>
      <c r="BD257">
        <v>27016.26</v>
      </c>
      <c r="BE257">
        <v>27016.26</v>
      </c>
      <c r="BF257">
        <v>21779.25</v>
      </c>
      <c r="BG257">
        <v>7084.08</v>
      </c>
      <c r="BH257">
        <v>4697.2299999999996</v>
      </c>
      <c r="BI257">
        <v>0</v>
      </c>
      <c r="BJ257">
        <v>0</v>
      </c>
      <c r="BK257">
        <v>3656.18</v>
      </c>
      <c r="BL257">
        <v>9560.5499999999993</v>
      </c>
      <c r="BM257">
        <v>2018.22</v>
      </c>
      <c r="BP257" s="3">
        <v>45667</v>
      </c>
      <c r="BQ257">
        <v>4859</v>
      </c>
      <c r="BR257" s="3">
        <v>45637</v>
      </c>
      <c r="BS257" t="s">
        <v>404</v>
      </c>
    </row>
    <row r="258" spans="1:71" x14ac:dyDescent="0.25">
      <c r="A258" t="s">
        <v>403</v>
      </c>
      <c r="B258" t="s">
        <v>298</v>
      </c>
      <c r="C258" s="2">
        <f>HYPERLINK("https://szao.dolgi.msk.ru/account/3470060474/", 3470060474)</f>
        <v>3470060474</v>
      </c>
      <c r="D258" t="s">
        <v>29</v>
      </c>
      <c r="E258">
        <v>81954.52</v>
      </c>
      <c r="AX258">
        <v>10.6</v>
      </c>
      <c r="AY258">
        <v>9.98</v>
      </c>
      <c r="AZ258" t="s">
        <v>56</v>
      </c>
      <c r="BA258" t="s">
        <v>63</v>
      </c>
      <c r="BB258">
        <v>81954.52</v>
      </c>
      <c r="BC258">
        <v>81954.52</v>
      </c>
      <c r="BD258">
        <v>81954.52</v>
      </c>
      <c r="BE258">
        <v>81954.52</v>
      </c>
      <c r="BF258">
        <v>73744.160000000003</v>
      </c>
      <c r="BG258">
        <v>21904.11</v>
      </c>
      <c r="BH258">
        <v>15538.98</v>
      </c>
      <c r="BI258">
        <v>0</v>
      </c>
      <c r="BJ258">
        <v>0</v>
      </c>
      <c r="BK258">
        <v>12239.51</v>
      </c>
      <c r="BL258">
        <v>26439.360000000001</v>
      </c>
      <c r="BM258">
        <v>5832.56</v>
      </c>
      <c r="BP258" s="3">
        <v>45252</v>
      </c>
      <c r="BQ258">
        <v>0</v>
      </c>
      <c r="BR258" s="3">
        <v>45666</v>
      </c>
      <c r="BS258" t="s">
        <v>405</v>
      </c>
    </row>
    <row r="259" spans="1:71" x14ac:dyDescent="0.25">
      <c r="A259" t="s">
        <v>406</v>
      </c>
      <c r="B259" t="s">
        <v>98</v>
      </c>
      <c r="C259" s="2">
        <f>HYPERLINK("https://szao.dolgi.msk.ru/account/3470060562/", 3470060562)</f>
        <v>3470060562</v>
      </c>
      <c r="D259" t="s">
        <v>29</v>
      </c>
      <c r="E259">
        <v>22222.560000000001</v>
      </c>
      <c r="AX259">
        <v>2.82</v>
      </c>
      <c r="AY259">
        <v>2.83</v>
      </c>
      <c r="AZ259" t="s">
        <v>40</v>
      </c>
      <c r="BA259" t="s">
        <v>31</v>
      </c>
      <c r="BB259">
        <v>22222.560000000001</v>
      </c>
      <c r="BC259">
        <v>22222.560000000001</v>
      </c>
      <c r="BD259">
        <v>22222.560000000001</v>
      </c>
      <c r="BE259">
        <v>22222.560000000001</v>
      </c>
      <c r="BF259">
        <v>14381.46</v>
      </c>
      <c r="BG259">
        <v>5419.35</v>
      </c>
      <c r="BH259">
        <v>1244.1300000000001</v>
      </c>
      <c r="BI259">
        <v>3022.65</v>
      </c>
      <c r="BJ259">
        <v>851.25</v>
      </c>
      <c r="BK259">
        <v>1608.69</v>
      </c>
      <c r="BL259">
        <v>8819.8799999999992</v>
      </c>
      <c r="BM259">
        <v>1256.6099999999999</v>
      </c>
      <c r="BP259" s="3">
        <v>45636</v>
      </c>
      <c r="BQ259">
        <v>7190.73</v>
      </c>
      <c r="BR259" s="3">
        <v>45225</v>
      </c>
      <c r="BS259" t="s">
        <v>407</v>
      </c>
    </row>
    <row r="260" spans="1:71" x14ac:dyDescent="0.25">
      <c r="A260" t="s">
        <v>408</v>
      </c>
      <c r="B260" t="s">
        <v>311</v>
      </c>
      <c r="C260" s="2">
        <f>HYPERLINK("https://szao.dolgi.msk.ru/account/3470062031/", 3470062031)</f>
        <v>3470062031</v>
      </c>
      <c r="D260" t="s">
        <v>29</v>
      </c>
      <c r="E260">
        <v>106296.11</v>
      </c>
      <c r="AX260">
        <v>9.2100000000000009</v>
      </c>
      <c r="AY260">
        <v>8.99</v>
      </c>
      <c r="AZ260" t="s">
        <v>45</v>
      </c>
      <c r="BA260" t="s">
        <v>63</v>
      </c>
      <c r="BB260">
        <v>106296.11</v>
      </c>
      <c r="BC260">
        <v>106296.11</v>
      </c>
      <c r="BD260">
        <v>106296.11</v>
      </c>
      <c r="BE260">
        <v>106296.11</v>
      </c>
      <c r="BF260">
        <v>94477.51</v>
      </c>
      <c r="BG260">
        <v>18074.3</v>
      </c>
      <c r="BH260">
        <v>33075.629999999997</v>
      </c>
      <c r="BI260">
        <v>0</v>
      </c>
      <c r="BJ260">
        <v>0</v>
      </c>
      <c r="BK260">
        <v>25595.39</v>
      </c>
      <c r="BL260">
        <v>25076.07</v>
      </c>
      <c r="BM260">
        <v>4474.72</v>
      </c>
      <c r="BP260" s="3">
        <v>45432</v>
      </c>
      <c r="BQ260">
        <v>8801.91</v>
      </c>
      <c r="BR260" s="3">
        <v>45666</v>
      </c>
      <c r="BS260" t="s">
        <v>409</v>
      </c>
    </row>
    <row r="261" spans="1:71" x14ac:dyDescent="0.25">
      <c r="A261" t="s">
        <v>408</v>
      </c>
      <c r="B261" t="s">
        <v>410</v>
      </c>
      <c r="C261" s="2">
        <f>HYPERLINK("https://szao.dolgi.msk.ru/account/3470297746/", 3470297746)</f>
        <v>3470297746</v>
      </c>
      <c r="D261" t="s">
        <v>29</v>
      </c>
      <c r="E261">
        <v>73496.06</v>
      </c>
      <c r="AX261">
        <v>23.49</v>
      </c>
      <c r="AY261">
        <v>16.47</v>
      </c>
      <c r="AZ261" t="s">
        <v>45</v>
      </c>
      <c r="BA261" t="s">
        <v>36</v>
      </c>
      <c r="BB261">
        <v>73496.06</v>
      </c>
      <c r="BC261">
        <v>73496.06</v>
      </c>
      <c r="BD261">
        <v>73496.06</v>
      </c>
      <c r="BE261">
        <v>73496.06</v>
      </c>
      <c r="BF261">
        <v>69033.100000000006</v>
      </c>
      <c r="BG261">
        <v>5986.52</v>
      </c>
      <c r="BH261">
        <v>20687.740000000002</v>
      </c>
      <c r="BI261">
        <v>0</v>
      </c>
      <c r="BJ261">
        <v>0</v>
      </c>
      <c r="BK261">
        <v>16114.99</v>
      </c>
      <c r="BL261">
        <v>30225.99</v>
      </c>
      <c r="BM261">
        <v>480.82</v>
      </c>
      <c r="BP261" s="3">
        <v>45535</v>
      </c>
      <c r="BQ261">
        <v>0</v>
      </c>
      <c r="BR261" s="3">
        <v>45590</v>
      </c>
      <c r="BS261" t="s">
        <v>411</v>
      </c>
    </row>
    <row r="262" spans="1:71" x14ac:dyDescent="0.25">
      <c r="A262" t="s">
        <v>412</v>
      </c>
      <c r="B262" t="s">
        <v>147</v>
      </c>
      <c r="C262" s="2">
        <f>HYPERLINK("https://szao.dolgi.msk.ru/account/3470293606/", 3470293606)</f>
        <v>3470293606</v>
      </c>
      <c r="D262" t="s">
        <v>29</v>
      </c>
      <c r="E262">
        <v>39853.75</v>
      </c>
      <c r="AX262">
        <v>3.86</v>
      </c>
      <c r="AY262">
        <v>3.89</v>
      </c>
      <c r="AZ262" t="s">
        <v>69</v>
      </c>
      <c r="BA262" t="s">
        <v>49</v>
      </c>
      <c r="BB262">
        <v>39853.75</v>
      </c>
      <c r="BC262">
        <v>39853.75</v>
      </c>
      <c r="BD262">
        <v>39853.75</v>
      </c>
      <c r="BE262">
        <v>39853.75</v>
      </c>
      <c r="BF262">
        <v>29610.42</v>
      </c>
      <c r="BG262">
        <v>5190.2700000000004</v>
      </c>
      <c r="BH262">
        <v>5805.96</v>
      </c>
      <c r="BI262">
        <v>14105.72</v>
      </c>
      <c r="BJ262">
        <v>3972.48</v>
      </c>
      <c r="BK262">
        <v>7507.24</v>
      </c>
      <c r="BL262">
        <v>2768.84</v>
      </c>
      <c r="BM262">
        <v>503.24</v>
      </c>
      <c r="BP262" s="3">
        <v>45594</v>
      </c>
      <c r="BQ262">
        <v>9870.14</v>
      </c>
    </row>
    <row r="263" spans="1:71" x14ac:dyDescent="0.25">
      <c r="A263" t="s">
        <v>412</v>
      </c>
      <c r="B263" t="s">
        <v>165</v>
      </c>
      <c r="C263" s="2">
        <f>HYPERLINK("https://szao.dolgi.msk.ru/account/3470064387/", 3470064387)</f>
        <v>3470064387</v>
      </c>
      <c r="D263" t="s">
        <v>29</v>
      </c>
      <c r="E263">
        <v>35892.019999999997</v>
      </c>
      <c r="AX263">
        <v>2.67</v>
      </c>
      <c r="AY263">
        <v>2.67</v>
      </c>
      <c r="AZ263" t="s">
        <v>30</v>
      </c>
      <c r="BA263" t="s">
        <v>31</v>
      </c>
      <c r="BB263">
        <v>35892.019999999997</v>
      </c>
      <c r="BC263">
        <v>35892.019999999997</v>
      </c>
      <c r="BD263">
        <v>35892.019999999997</v>
      </c>
      <c r="BE263">
        <v>35892.019999999997</v>
      </c>
      <c r="BF263">
        <v>23408.68</v>
      </c>
      <c r="BG263">
        <v>8320.64</v>
      </c>
      <c r="BH263">
        <v>3732.42</v>
      </c>
      <c r="BI263">
        <v>9067.98</v>
      </c>
      <c r="BJ263">
        <v>2553.75</v>
      </c>
      <c r="BK263">
        <v>4826.07</v>
      </c>
      <c r="BL263">
        <v>5815.44</v>
      </c>
      <c r="BM263">
        <v>1575.72</v>
      </c>
      <c r="BP263" s="3">
        <v>45614</v>
      </c>
      <c r="BQ263">
        <v>14906.05</v>
      </c>
    </row>
    <row r="264" spans="1:71" x14ac:dyDescent="0.25">
      <c r="A264" t="s">
        <v>412</v>
      </c>
      <c r="B264" t="s">
        <v>413</v>
      </c>
      <c r="C264" s="2">
        <f>HYPERLINK("https://szao.dolgi.msk.ru/account/3470064635/", 3470064635)</f>
        <v>3470064635</v>
      </c>
      <c r="D264" t="s">
        <v>29</v>
      </c>
      <c r="E264">
        <v>9048.6299999999992</v>
      </c>
      <c r="AX264">
        <v>2.17</v>
      </c>
      <c r="AY264">
        <v>1.88</v>
      </c>
      <c r="AZ264" t="s">
        <v>40</v>
      </c>
      <c r="BA264" t="s">
        <v>31</v>
      </c>
      <c r="BB264">
        <v>9048.6299999999992</v>
      </c>
      <c r="BC264">
        <v>9048.6299999999992</v>
      </c>
      <c r="BD264">
        <v>9071.9</v>
      </c>
      <c r="BE264">
        <v>9071.9</v>
      </c>
      <c r="BF264">
        <v>4233.0600000000004</v>
      </c>
      <c r="BG264">
        <v>4168.54</v>
      </c>
      <c r="BH264">
        <v>-13.62</v>
      </c>
      <c r="BI264">
        <v>0</v>
      </c>
      <c r="BJ264">
        <v>0</v>
      </c>
      <c r="BK264">
        <v>-9.65</v>
      </c>
      <c r="BL264">
        <v>4149.24</v>
      </c>
      <c r="BM264">
        <v>754.12</v>
      </c>
      <c r="BP264" s="3">
        <v>45653</v>
      </c>
      <c r="BQ264">
        <v>4256.33</v>
      </c>
    </row>
    <row r="265" spans="1:71" x14ac:dyDescent="0.25">
      <c r="A265" t="s">
        <v>412</v>
      </c>
      <c r="B265" t="s">
        <v>414</v>
      </c>
      <c r="C265" s="2">
        <f>HYPERLINK("https://szao.dolgi.msk.ru/account/3470065339/", 3470065339)</f>
        <v>3470065339</v>
      </c>
      <c r="D265" t="s">
        <v>29</v>
      </c>
      <c r="E265">
        <v>36890.769999999997</v>
      </c>
      <c r="AX265">
        <v>8.4700000000000006</v>
      </c>
      <c r="AY265">
        <v>7.76</v>
      </c>
      <c r="AZ265" t="s">
        <v>40</v>
      </c>
      <c r="BA265" t="s">
        <v>66</v>
      </c>
      <c r="BB265">
        <v>36890.769999999997</v>
      </c>
      <c r="BC265">
        <v>36890.769999999997</v>
      </c>
      <c r="BD265">
        <v>36890.769999999997</v>
      </c>
      <c r="BE265">
        <v>36890.769999999997</v>
      </c>
      <c r="BF265">
        <v>32138.04</v>
      </c>
      <c r="BG265">
        <v>16754.37</v>
      </c>
      <c r="BH265">
        <v>2270.02</v>
      </c>
      <c r="BI265">
        <v>4037.94</v>
      </c>
      <c r="BJ265">
        <v>1109.29</v>
      </c>
      <c r="BK265">
        <v>2626.71</v>
      </c>
      <c r="BL265">
        <v>8566.27</v>
      </c>
      <c r="BM265">
        <v>1526.17</v>
      </c>
      <c r="BP265" s="3">
        <v>45629</v>
      </c>
      <c r="BQ265">
        <v>4679.87</v>
      </c>
    </row>
    <row r="266" spans="1:71" x14ac:dyDescent="0.25">
      <c r="A266" t="s">
        <v>415</v>
      </c>
      <c r="B266" t="s">
        <v>313</v>
      </c>
      <c r="C266" s="2">
        <f>HYPERLINK("https://szao.dolgi.msk.ru/account/3470066198/", 3470066198)</f>
        <v>3470066198</v>
      </c>
      <c r="D266" t="s">
        <v>29</v>
      </c>
      <c r="E266">
        <v>36228.85</v>
      </c>
      <c r="AX266">
        <v>10.87</v>
      </c>
      <c r="AY266">
        <v>10.86</v>
      </c>
      <c r="AZ266" t="s">
        <v>40</v>
      </c>
      <c r="BA266" t="s">
        <v>63</v>
      </c>
      <c r="BB266">
        <v>36228.85</v>
      </c>
      <c r="BC266">
        <v>36228.85</v>
      </c>
      <c r="BD266">
        <v>36228.85</v>
      </c>
      <c r="BE266">
        <v>36228.85</v>
      </c>
      <c r="BF266">
        <v>32893.379999999997</v>
      </c>
      <c r="BG266">
        <v>11047.63</v>
      </c>
      <c r="BH266">
        <v>2958.34</v>
      </c>
      <c r="BI266">
        <v>0</v>
      </c>
      <c r="BJ266">
        <v>0</v>
      </c>
      <c r="BK266">
        <v>2310.5700000000002</v>
      </c>
      <c r="BL266">
        <v>16943.5</v>
      </c>
      <c r="BM266">
        <v>2968.81</v>
      </c>
      <c r="BP266" s="3">
        <v>45637</v>
      </c>
      <c r="BQ266">
        <v>2789.56</v>
      </c>
      <c r="BR266" s="3">
        <v>45503</v>
      </c>
      <c r="BS266" t="s">
        <v>416</v>
      </c>
    </row>
    <row r="267" spans="1:71" x14ac:dyDescent="0.25">
      <c r="A267" t="s">
        <v>417</v>
      </c>
      <c r="B267" t="s">
        <v>364</v>
      </c>
      <c r="C267" s="2">
        <f>HYPERLINK("https://szao.dolgi.msk.ru/account/3470318332/", 3470318332)</f>
        <v>3470318332</v>
      </c>
      <c r="D267" t="s">
        <v>29</v>
      </c>
      <c r="E267">
        <v>10235.799999999999</v>
      </c>
      <c r="AX267">
        <v>2.34</v>
      </c>
      <c r="AY267">
        <v>2.15</v>
      </c>
      <c r="AZ267" t="s">
        <v>40</v>
      </c>
      <c r="BA267" t="s">
        <v>31</v>
      </c>
      <c r="BB267">
        <v>10235.799999999999</v>
      </c>
      <c r="BC267">
        <v>10235.799999999999</v>
      </c>
      <c r="BD267">
        <v>10235.799999999999</v>
      </c>
      <c r="BE267">
        <v>10235.799999999999</v>
      </c>
      <c r="BF267">
        <v>5466.72</v>
      </c>
      <c r="BG267">
        <v>4508.2299999999996</v>
      </c>
      <c r="BH267">
        <v>525.88</v>
      </c>
      <c r="BI267">
        <v>0</v>
      </c>
      <c r="BJ267">
        <v>0</v>
      </c>
      <c r="BK267">
        <v>393.31</v>
      </c>
      <c r="BL267">
        <v>3763.03</v>
      </c>
      <c r="BM267">
        <v>1045.3499999999999</v>
      </c>
      <c r="BN267">
        <v>3488.08</v>
      </c>
      <c r="BP267" s="3">
        <v>45672</v>
      </c>
      <c r="BQ267">
        <v>3488.08</v>
      </c>
    </row>
    <row r="268" spans="1:71" x14ac:dyDescent="0.25">
      <c r="A268" t="s">
        <v>417</v>
      </c>
      <c r="B268" t="s">
        <v>95</v>
      </c>
      <c r="C268" s="2">
        <f>HYPERLINK("https://szao.dolgi.msk.ru/account/3470318551/", 3470318551)</f>
        <v>3470318551</v>
      </c>
      <c r="D268" t="s">
        <v>29</v>
      </c>
      <c r="E268">
        <v>26229.06</v>
      </c>
      <c r="AX268">
        <v>2.67</v>
      </c>
      <c r="AY268">
        <v>2.4900000000000002</v>
      </c>
      <c r="AZ268" t="s">
        <v>30</v>
      </c>
      <c r="BA268" t="s">
        <v>31</v>
      </c>
      <c r="BB268">
        <v>26229.06</v>
      </c>
      <c r="BC268">
        <v>26229.06</v>
      </c>
      <c r="BD268">
        <v>26229.06</v>
      </c>
      <c r="BE268">
        <v>26229.06</v>
      </c>
      <c r="BF268">
        <v>15674.71</v>
      </c>
      <c r="BG268">
        <v>5378.82</v>
      </c>
      <c r="BH268">
        <v>8076.1</v>
      </c>
      <c r="BI268">
        <v>0</v>
      </c>
      <c r="BJ268">
        <v>0</v>
      </c>
      <c r="BK268">
        <v>6171.33</v>
      </c>
      <c r="BL268">
        <v>5310.4</v>
      </c>
      <c r="BM268">
        <v>1292.4100000000001</v>
      </c>
      <c r="BP268" s="3">
        <v>45667</v>
      </c>
      <c r="BQ268">
        <v>19042.939999999999</v>
      </c>
      <c r="BR268" s="3">
        <v>45481</v>
      </c>
      <c r="BS268" t="s">
        <v>418</v>
      </c>
    </row>
    <row r="269" spans="1:71" x14ac:dyDescent="0.25">
      <c r="A269" t="s">
        <v>419</v>
      </c>
      <c r="B269" t="s">
        <v>34</v>
      </c>
      <c r="C269" s="2">
        <f>HYPERLINK("https://szao.dolgi.msk.ru/account/3470067529/", 3470067529)</f>
        <v>3470067529</v>
      </c>
      <c r="D269" t="s">
        <v>29</v>
      </c>
      <c r="E269">
        <v>53429.88</v>
      </c>
      <c r="AX269">
        <v>8.3800000000000008</v>
      </c>
      <c r="AY269">
        <v>8.16</v>
      </c>
      <c r="AZ269" t="s">
        <v>40</v>
      </c>
      <c r="BA269" t="s">
        <v>66</v>
      </c>
      <c r="BB269">
        <v>53429.88</v>
      </c>
      <c r="BC269">
        <v>53429.88</v>
      </c>
      <c r="BD269">
        <v>53429.88</v>
      </c>
      <c r="BE269">
        <v>53429.88</v>
      </c>
      <c r="BF269">
        <v>46862.09</v>
      </c>
      <c r="BG269">
        <v>9343.83</v>
      </c>
      <c r="BH269">
        <v>14915.09</v>
      </c>
      <c r="BI269">
        <v>0</v>
      </c>
      <c r="BJ269">
        <v>0</v>
      </c>
      <c r="BK269">
        <v>11570.39</v>
      </c>
      <c r="BL269">
        <v>15185.4</v>
      </c>
      <c r="BM269">
        <v>2415.17</v>
      </c>
      <c r="BP269" s="3">
        <v>45623</v>
      </c>
      <c r="BQ269">
        <v>5080.59</v>
      </c>
      <c r="BR269" s="3">
        <v>45503</v>
      </c>
      <c r="BS269" t="s">
        <v>420</v>
      </c>
    </row>
    <row r="270" spans="1:71" x14ac:dyDescent="0.25">
      <c r="A270" t="s">
        <v>419</v>
      </c>
      <c r="B270" t="s">
        <v>52</v>
      </c>
      <c r="C270" s="2">
        <f>HYPERLINK("https://szao.dolgi.msk.ru/account/3470067959/", 3470067959)</f>
        <v>3470067959</v>
      </c>
      <c r="D270" t="s">
        <v>29</v>
      </c>
      <c r="E270">
        <v>24491.07</v>
      </c>
      <c r="AX270">
        <v>2.56</v>
      </c>
      <c r="AY270">
        <v>2.54</v>
      </c>
      <c r="AZ270" t="s">
        <v>30</v>
      </c>
      <c r="BA270" t="s">
        <v>31</v>
      </c>
      <c r="BB270">
        <v>24491.07</v>
      </c>
      <c r="BC270">
        <v>24491.07</v>
      </c>
      <c r="BD270">
        <v>24491.07</v>
      </c>
      <c r="BE270">
        <v>24491.07</v>
      </c>
      <c r="BF270">
        <v>14796.06</v>
      </c>
      <c r="BG270">
        <v>2799.12</v>
      </c>
      <c r="BH270">
        <v>9035.49</v>
      </c>
      <c r="BI270">
        <v>0</v>
      </c>
      <c r="BJ270">
        <v>0</v>
      </c>
      <c r="BK270">
        <v>7091.09</v>
      </c>
      <c r="BL270">
        <v>4779.67</v>
      </c>
      <c r="BM270">
        <v>785.7</v>
      </c>
      <c r="BN270">
        <v>17141.900000000001</v>
      </c>
      <c r="BO270">
        <v>9695.01</v>
      </c>
      <c r="BP270" s="3">
        <v>45685</v>
      </c>
      <c r="BQ270">
        <v>8049.94</v>
      </c>
    </row>
    <row r="271" spans="1:71" x14ac:dyDescent="0.25">
      <c r="A271" t="s">
        <v>419</v>
      </c>
      <c r="B271" t="s">
        <v>108</v>
      </c>
      <c r="C271" s="2">
        <f>HYPERLINK("https://szao.dolgi.msk.ru/account/3470068222/", 3470068222)</f>
        <v>3470068222</v>
      </c>
      <c r="D271" t="s">
        <v>29</v>
      </c>
      <c r="E271">
        <v>74328.539999999994</v>
      </c>
      <c r="AX271">
        <v>8.36</v>
      </c>
      <c r="AY271">
        <v>8.1199999999999992</v>
      </c>
      <c r="AZ271" t="s">
        <v>45</v>
      </c>
      <c r="BA271" t="s">
        <v>66</v>
      </c>
      <c r="BB271">
        <v>74328.539999999994</v>
      </c>
      <c r="BC271">
        <v>74328.539999999994</v>
      </c>
      <c r="BD271">
        <v>74328.539999999994</v>
      </c>
      <c r="BE271">
        <v>74328.539999999994</v>
      </c>
      <c r="BF271">
        <v>65180.06</v>
      </c>
      <c r="BG271">
        <v>19281.39</v>
      </c>
      <c r="BH271">
        <v>10305.43</v>
      </c>
      <c r="BI271">
        <v>0</v>
      </c>
      <c r="BJ271">
        <v>0</v>
      </c>
      <c r="BK271">
        <v>7995.51</v>
      </c>
      <c r="BL271">
        <v>31756.34</v>
      </c>
      <c r="BM271">
        <v>4989.87</v>
      </c>
      <c r="BP271" s="3">
        <v>45622</v>
      </c>
      <c r="BQ271">
        <v>2966.94</v>
      </c>
      <c r="BR271" s="3">
        <v>45618</v>
      </c>
      <c r="BS271" t="s">
        <v>421</v>
      </c>
    </row>
    <row r="272" spans="1:71" x14ac:dyDescent="0.25">
      <c r="A272" t="s">
        <v>419</v>
      </c>
      <c r="B272" t="s">
        <v>42</v>
      </c>
      <c r="C272" s="2">
        <f>HYPERLINK("https://szao.dolgi.msk.ru/account/3470068396/", 3470068396)</f>
        <v>3470068396</v>
      </c>
      <c r="D272" t="s">
        <v>29</v>
      </c>
      <c r="E272">
        <v>13892.12</v>
      </c>
      <c r="AX272">
        <v>3.16</v>
      </c>
      <c r="AY272">
        <v>3.13</v>
      </c>
      <c r="AZ272" t="s">
        <v>69</v>
      </c>
      <c r="BA272" t="s">
        <v>49</v>
      </c>
      <c r="BB272">
        <v>13892.12</v>
      </c>
      <c r="BC272">
        <v>13892.12</v>
      </c>
      <c r="BD272">
        <v>13892.12</v>
      </c>
      <c r="BE272">
        <v>13892.12</v>
      </c>
      <c r="BF272">
        <v>8449.98</v>
      </c>
      <c r="BG272">
        <v>3407.28</v>
      </c>
      <c r="BH272">
        <v>1414.34</v>
      </c>
      <c r="BI272">
        <v>0</v>
      </c>
      <c r="BJ272">
        <v>0</v>
      </c>
      <c r="BK272">
        <v>1083.6400000000001</v>
      </c>
      <c r="BL272">
        <v>6933.45</v>
      </c>
      <c r="BM272">
        <v>1053.4100000000001</v>
      </c>
      <c r="BP272" s="3">
        <v>45573</v>
      </c>
      <c r="BQ272">
        <v>10409.299999999999</v>
      </c>
    </row>
    <row r="273" spans="1:71" x14ac:dyDescent="0.25">
      <c r="A273" t="s">
        <v>422</v>
      </c>
      <c r="B273" t="s">
        <v>127</v>
      </c>
      <c r="C273" s="2">
        <f>HYPERLINK("https://szao.dolgi.msk.ru/account/3470599699/", 3470599699)</f>
        <v>3470599699</v>
      </c>
      <c r="D273" t="s">
        <v>29</v>
      </c>
      <c r="E273">
        <v>119649.34</v>
      </c>
      <c r="AX273">
        <v>16.29</v>
      </c>
      <c r="AY273">
        <v>19.43</v>
      </c>
      <c r="AZ273" t="s">
        <v>45</v>
      </c>
      <c r="BA273" t="s">
        <v>36</v>
      </c>
      <c r="BB273">
        <v>119649.34</v>
      </c>
      <c r="BC273">
        <v>119649.34</v>
      </c>
      <c r="BD273">
        <v>119649.34</v>
      </c>
      <c r="BE273">
        <v>119649.34</v>
      </c>
      <c r="BF273">
        <v>113490.34</v>
      </c>
      <c r="BG273">
        <v>15930.67</v>
      </c>
      <c r="BH273">
        <v>15278.1</v>
      </c>
      <c r="BI273">
        <v>37498.080000000002</v>
      </c>
      <c r="BJ273">
        <v>10390.4</v>
      </c>
      <c r="BK273">
        <v>19821.2</v>
      </c>
      <c r="BL273">
        <v>16382</v>
      </c>
      <c r="BM273">
        <v>4348.8900000000003</v>
      </c>
      <c r="BP273" s="3">
        <v>45496</v>
      </c>
      <c r="BQ273">
        <v>7622.22</v>
      </c>
      <c r="BR273" s="3">
        <v>45495</v>
      </c>
      <c r="BS273" t="s">
        <v>423</v>
      </c>
    </row>
    <row r="274" spans="1:71" x14ac:dyDescent="0.25">
      <c r="A274" t="s">
        <v>422</v>
      </c>
      <c r="B274" t="s">
        <v>385</v>
      </c>
      <c r="C274" s="2">
        <f>HYPERLINK("https://szao.dolgi.msk.ru/account/3470071456/", 3470071456)</f>
        <v>3470071456</v>
      </c>
      <c r="D274" t="s">
        <v>29</v>
      </c>
      <c r="E274">
        <v>22129.05</v>
      </c>
      <c r="AX274">
        <v>3.77</v>
      </c>
      <c r="AY274">
        <v>4.2300000000000004</v>
      </c>
      <c r="AZ274" t="s">
        <v>40</v>
      </c>
      <c r="BA274" t="s">
        <v>49</v>
      </c>
      <c r="BB274">
        <v>22129.05</v>
      </c>
      <c r="BC274">
        <v>22129.05</v>
      </c>
      <c r="BD274">
        <v>22129.05</v>
      </c>
      <c r="BE274">
        <v>22129.05</v>
      </c>
      <c r="BF274">
        <v>16900.73</v>
      </c>
      <c r="BG274">
        <v>3003.52</v>
      </c>
      <c r="BH274">
        <v>3198.98</v>
      </c>
      <c r="BI274">
        <v>6312.33</v>
      </c>
      <c r="BJ274">
        <v>1652.62</v>
      </c>
      <c r="BK274">
        <v>3930.72</v>
      </c>
      <c r="BL274">
        <v>3143.76</v>
      </c>
      <c r="BM274">
        <v>887.12</v>
      </c>
      <c r="BO274">
        <v>5228.32</v>
      </c>
      <c r="BP274" s="3">
        <v>45688</v>
      </c>
      <c r="BQ274">
        <v>5228.32</v>
      </c>
      <c r="BR274" s="3">
        <v>45593</v>
      </c>
      <c r="BS274" t="s">
        <v>424</v>
      </c>
    </row>
    <row r="275" spans="1:71" x14ac:dyDescent="0.25">
      <c r="A275" t="s">
        <v>422</v>
      </c>
      <c r="B275" t="s">
        <v>309</v>
      </c>
      <c r="C275" s="2">
        <f>HYPERLINK("https://szao.dolgi.msk.ru/account/3470071464/", 3470071464)</f>
        <v>3470071464</v>
      </c>
      <c r="D275" t="s">
        <v>29</v>
      </c>
      <c r="E275">
        <v>21003.35</v>
      </c>
      <c r="AX275">
        <v>2.27</v>
      </c>
      <c r="AY275">
        <v>2.14</v>
      </c>
      <c r="AZ275" t="s">
        <v>35</v>
      </c>
      <c r="BA275" t="s">
        <v>31</v>
      </c>
      <c r="BB275">
        <v>21003.35</v>
      </c>
      <c r="BC275">
        <v>21003.35</v>
      </c>
      <c r="BD275">
        <v>21003.35</v>
      </c>
      <c r="BE275">
        <v>21003.35</v>
      </c>
      <c r="BF275">
        <v>11182.3</v>
      </c>
      <c r="BG275">
        <v>6572.99</v>
      </c>
      <c r="BH275">
        <v>1581.85</v>
      </c>
      <c r="BI275">
        <v>4211.41</v>
      </c>
      <c r="BJ275">
        <v>1186.03</v>
      </c>
      <c r="BK275">
        <v>2180.7199999999998</v>
      </c>
      <c r="BL275">
        <v>3520.78</v>
      </c>
      <c r="BM275">
        <v>1749.57</v>
      </c>
      <c r="BN275">
        <v>9162.82</v>
      </c>
      <c r="BP275" s="3">
        <v>45671</v>
      </c>
      <c r="BQ275">
        <v>9162.82</v>
      </c>
      <c r="BR275" s="3">
        <v>45503</v>
      </c>
      <c r="BS275" t="s">
        <v>425</v>
      </c>
    </row>
    <row r="276" spans="1:71" x14ac:dyDescent="0.25">
      <c r="A276" t="s">
        <v>422</v>
      </c>
      <c r="B276" t="s">
        <v>87</v>
      </c>
      <c r="C276" s="2">
        <f>HYPERLINK("https://szao.dolgi.msk.ru/account/3470071835/", 3470071835)</f>
        <v>3470071835</v>
      </c>
      <c r="D276" t="s">
        <v>29</v>
      </c>
      <c r="E276">
        <v>23866.400000000001</v>
      </c>
      <c r="AX276">
        <v>5.0199999999999996</v>
      </c>
      <c r="AY276">
        <v>5.34</v>
      </c>
      <c r="AZ276" t="s">
        <v>40</v>
      </c>
      <c r="BA276" t="s">
        <v>49</v>
      </c>
      <c r="BB276">
        <v>23866.400000000001</v>
      </c>
      <c r="BC276">
        <v>23866.400000000001</v>
      </c>
      <c r="BD276">
        <v>23866.400000000001</v>
      </c>
      <c r="BE276">
        <v>23866.400000000001</v>
      </c>
      <c r="BF276">
        <v>23191.55</v>
      </c>
      <c r="BG276">
        <v>8264.7999999999993</v>
      </c>
      <c r="BH276">
        <v>1115.6400000000001</v>
      </c>
      <c r="BI276">
        <v>1412.02</v>
      </c>
      <c r="BJ276">
        <v>402.73</v>
      </c>
      <c r="BK276">
        <v>1165.3599999999999</v>
      </c>
      <c r="BL276">
        <v>9173.1</v>
      </c>
      <c r="BM276">
        <v>2332.75</v>
      </c>
      <c r="BO276">
        <v>4466.75</v>
      </c>
      <c r="BP276" s="3">
        <v>45685</v>
      </c>
      <c r="BQ276">
        <v>4466.75</v>
      </c>
    </row>
    <row r="277" spans="1:71" x14ac:dyDescent="0.25">
      <c r="A277" t="s">
        <v>422</v>
      </c>
      <c r="B277" t="s">
        <v>27</v>
      </c>
      <c r="C277" s="2">
        <f>HYPERLINK("https://szao.dolgi.msk.ru/account/3470071851/", 3470071851)</f>
        <v>3470071851</v>
      </c>
      <c r="D277" t="s">
        <v>29</v>
      </c>
      <c r="E277">
        <v>138997.16</v>
      </c>
      <c r="AX277">
        <v>22.6</v>
      </c>
      <c r="AY277">
        <v>15.29</v>
      </c>
      <c r="AZ277" t="s">
        <v>40</v>
      </c>
      <c r="BA277" t="s">
        <v>36</v>
      </c>
      <c r="BB277">
        <v>142487.41</v>
      </c>
      <c r="BC277">
        <v>142487.41</v>
      </c>
      <c r="BD277">
        <v>138997.16</v>
      </c>
      <c r="BE277">
        <v>142487.41</v>
      </c>
      <c r="BF277">
        <v>213904.55</v>
      </c>
      <c r="BG277">
        <v>24772.87</v>
      </c>
      <c r="BH277">
        <v>12330.76</v>
      </c>
      <c r="BI277">
        <v>31449.18</v>
      </c>
      <c r="BJ277">
        <v>8721.6299999999992</v>
      </c>
      <c r="BK277">
        <v>23181.37</v>
      </c>
      <c r="BL277">
        <v>29429.97</v>
      </c>
      <c r="BM277">
        <v>9111.3799999999992</v>
      </c>
      <c r="BN277">
        <v>80508.86</v>
      </c>
      <c r="BO277">
        <v>3490.25</v>
      </c>
      <c r="BP277" s="3">
        <v>45698</v>
      </c>
      <c r="BQ277">
        <v>25967.35</v>
      </c>
      <c r="BR277" s="3">
        <v>45442</v>
      </c>
      <c r="BS277" t="s">
        <v>426</v>
      </c>
    </row>
    <row r="278" spans="1:71" x14ac:dyDescent="0.25">
      <c r="A278" t="s">
        <v>422</v>
      </c>
      <c r="B278" t="s">
        <v>367</v>
      </c>
      <c r="C278" s="2">
        <f>HYPERLINK("https://szao.dolgi.msk.ru/account/3470071173/", 3470071173)</f>
        <v>3470071173</v>
      </c>
      <c r="D278" t="s">
        <v>29</v>
      </c>
      <c r="E278">
        <v>54489.71</v>
      </c>
      <c r="AX278">
        <v>12.86</v>
      </c>
      <c r="AY278">
        <v>12.78</v>
      </c>
      <c r="AZ278" t="s">
        <v>40</v>
      </c>
      <c r="BA278" t="s">
        <v>36</v>
      </c>
      <c r="BB278">
        <v>54489.71</v>
      </c>
      <c r="BC278">
        <v>54489.71</v>
      </c>
      <c r="BD278">
        <v>54489.71</v>
      </c>
      <c r="BE278">
        <v>54489.71</v>
      </c>
      <c r="BF278">
        <v>50226.62</v>
      </c>
      <c r="BG278">
        <v>25521.33</v>
      </c>
      <c r="BH278">
        <v>19.649999999999999</v>
      </c>
      <c r="BI278">
        <v>0</v>
      </c>
      <c r="BJ278">
        <v>0</v>
      </c>
      <c r="BK278">
        <v>15.4</v>
      </c>
      <c r="BL278">
        <v>22298.04</v>
      </c>
      <c r="BM278">
        <v>6635.29</v>
      </c>
      <c r="BO278">
        <v>4263.09</v>
      </c>
      <c r="BP278" s="3">
        <v>45679</v>
      </c>
      <c r="BQ278">
        <v>4263.09</v>
      </c>
      <c r="BR278" s="3">
        <v>45516</v>
      </c>
      <c r="BS278" t="s">
        <v>427</v>
      </c>
    </row>
    <row r="279" spans="1:71" x14ac:dyDescent="0.25">
      <c r="A279" t="s">
        <v>422</v>
      </c>
      <c r="B279" t="s">
        <v>428</v>
      </c>
      <c r="C279" s="2">
        <f>HYPERLINK("https://szao.dolgi.msk.ru/account/3470071288/", 3470071288)</f>
        <v>3470071288</v>
      </c>
      <c r="D279" t="s">
        <v>29</v>
      </c>
      <c r="E279">
        <v>81377.25</v>
      </c>
      <c r="AX279">
        <v>8.41</v>
      </c>
      <c r="AY279">
        <v>8.4</v>
      </c>
      <c r="AZ279" t="s">
        <v>40</v>
      </c>
      <c r="BA279" t="s">
        <v>66</v>
      </c>
      <c r="BB279">
        <v>81377.25</v>
      </c>
      <c r="BC279">
        <v>81377.25</v>
      </c>
      <c r="BD279">
        <v>81377.25</v>
      </c>
      <c r="BE279">
        <v>81377.25</v>
      </c>
      <c r="BF279">
        <v>71692.09</v>
      </c>
      <c r="BG279">
        <v>14820.62</v>
      </c>
      <c r="BH279">
        <v>5865.19</v>
      </c>
      <c r="BI279">
        <v>28032.29</v>
      </c>
      <c r="BJ279">
        <v>7689.21</v>
      </c>
      <c r="BK279">
        <v>10525.14</v>
      </c>
      <c r="BL279">
        <v>11417.58</v>
      </c>
      <c r="BM279">
        <v>3027.22</v>
      </c>
      <c r="BP279" s="3">
        <v>45649</v>
      </c>
      <c r="BQ279">
        <v>9177.3799999999992</v>
      </c>
    </row>
    <row r="280" spans="1:71" x14ac:dyDescent="0.25">
      <c r="A280" t="s">
        <v>422</v>
      </c>
      <c r="B280" t="s">
        <v>429</v>
      </c>
      <c r="C280" s="2">
        <f>HYPERLINK("https://szao.dolgi.msk.ru/account/3470415896/", 3470415896)</f>
        <v>3470415896</v>
      </c>
      <c r="D280" t="s">
        <v>29</v>
      </c>
      <c r="E280">
        <v>6156.77</v>
      </c>
      <c r="AX280">
        <v>13.58</v>
      </c>
      <c r="AY280">
        <v>2.19</v>
      </c>
      <c r="AZ280" t="s">
        <v>40</v>
      </c>
      <c r="BA280" t="s">
        <v>36</v>
      </c>
      <c r="BB280">
        <v>6156.77</v>
      </c>
      <c r="BC280">
        <v>6156.77</v>
      </c>
      <c r="BD280">
        <v>28358.03</v>
      </c>
      <c r="BE280">
        <v>28358.03</v>
      </c>
      <c r="BF280">
        <v>3351.47</v>
      </c>
      <c r="BG280">
        <v>7466.35</v>
      </c>
      <c r="BH280">
        <v>-2132.5100000000002</v>
      </c>
      <c r="BI280">
        <v>-13958.14</v>
      </c>
      <c r="BJ280">
        <v>-269.58</v>
      </c>
      <c r="BK280">
        <v>-5841.03</v>
      </c>
      <c r="BL280">
        <v>16007.35</v>
      </c>
      <c r="BM280">
        <v>4884.33</v>
      </c>
      <c r="BN280">
        <v>87654.24</v>
      </c>
      <c r="BP280" s="3">
        <v>45688</v>
      </c>
      <c r="BQ280">
        <v>87654.24</v>
      </c>
      <c r="BR280" s="3">
        <v>45516</v>
      </c>
      <c r="BS280" t="s">
        <v>430</v>
      </c>
    </row>
    <row r="281" spans="1:71" x14ac:dyDescent="0.25">
      <c r="A281" t="s">
        <v>422</v>
      </c>
      <c r="B281" t="s">
        <v>299</v>
      </c>
      <c r="C281" s="2">
        <f>HYPERLINK("https://szao.dolgi.msk.ru/account/3470445438/", 3470445438)</f>
        <v>3470445438</v>
      </c>
      <c r="D281" t="s">
        <v>29</v>
      </c>
      <c r="E281">
        <v>5040.63</v>
      </c>
      <c r="AX281">
        <v>7.09</v>
      </c>
      <c r="AY281">
        <v>7.12</v>
      </c>
      <c r="AZ281" t="s">
        <v>40</v>
      </c>
      <c r="BA281" t="s">
        <v>66</v>
      </c>
      <c r="BB281">
        <v>5040.63</v>
      </c>
      <c r="BC281">
        <v>5040.63</v>
      </c>
      <c r="BD281">
        <v>5040.63</v>
      </c>
      <c r="BE281">
        <v>5040.63</v>
      </c>
      <c r="BF281">
        <v>4332.45</v>
      </c>
      <c r="BG281">
        <v>2177.83</v>
      </c>
      <c r="BH281">
        <v>0</v>
      </c>
      <c r="BI281">
        <v>0</v>
      </c>
      <c r="BJ281">
        <v>0</v>
      </c>
      <c r="BK281">
        <v>0</v>
      </c>
      <c r="BL281">
        <v>2271.86</v>
      </c>
      <c r="BM281">
        <v>590.94000000000005</v>
      </c>
      <c r="BP281" s="3">
        <v>45650</v>
      </c>
      <c r="BQ281">
        <v>626.91</v>
      </c>
      <c r="BR281" s="3">
        <v>45509</v>
      </c>
      <c r="BS281" t="s">
        <v>431</v>
      </c>
    </row>
    <row r="282" spans="1:71" x14ac:dyDescent="0.25">
      <c r="A282" t="s">
        <v>422</v>
      </c>
      <c r="B282" t="s">
        <v>432</v>
      </c>
      <c r="C282" s="2">
        <f>HYPERLINK("https://szao.dolgi.msk.ru/account/3470071392/", 3470071392)</f>
        <v>3470071392</v>
      </c>
      <c r="D282" t="s">
        <v>29</v>
      </c>
      <c r="E282">
        <v>17382.349999999999</v>
      </c>
      <c r="AX282">
        <v>3.7</v>
      </c>
      <c r="AY282">
        <v>3.69</v>
      </c>
      <c r="AZ282" t="s">
        <v>40</v>
      </c>
      <c r="BA282" t="s">
        <v>49</v>
      </c>
      <c r="BB282">
        <v>17382.349999999999</v>
      </c>
      <c r="BC282">
        <v>17382.349999999999</v>
      </c>
      <c r="BD282">
        <v>17382.349999999999</v>
      </c>
      <c r="BE282">
        <v>17382.349999999999</v>
      </c>
      <c r="BF282">
        <v>12667.41</v>
      </c>
      <c r="BG282">
        <v>6844.43</v>
      </c>
      <c r="BH282">
        <v>239.2</v>
      </c>
      <c r="BI282">
        <v>849.36</v>
      </c>
      <c r="BJ282">
        <v>239.2</v>
      </c>
      <c r="BK282">
        <v>367.28</v>
      </c>
      <c r="BL282">
        <v>7050.04</v>
      </c>
      <c r="BM282">
        <v>1792.84</v>
      </c>
      <c r="BP282" s="3">
        <v>45614</v>
      </c>
      <c r="BQ282">
        <v>4222.47</v>
      </c>
    </row>
    <row r="283" spans="1:71" x14ac:dyDescent="0.25">
      <c r="A283" t="s">
        <v>433</v>
      </c>
      <c r="B283" t="s">
        <v>52</v>
      </c>
      <c r="C283" s="2">
        <f>HYPERLINK("https://szao.dolgi.msk.ru/account/3470086009/", 3470086009)</f>
        <v>3470086009</v>
      </c>
      <c r="D283" t="s">
        <v>29</v>
      </c>
      <c r="E283">
        <v>8637.3799999999992</v>
      </c>
      <c r="AX283">
        <v>3.08</v>
      </c>
      <c r="AY283">
        <v>2.75</v>
      </c>
      <c r="AZ283" t="s">
        <v>40</v>
      </c>
      <c r="BA283" t="s">
        <v>49</v>
      </c>
      <c r="BB283">
        <v>8637.3799999999992</v>
      </c>
      <c r="BC283">
        <v>8637.3799999999992</v>
      </c>
      <c r="BD283">
        <v>8637.3799999999992</v>
      </c>
      <c r="BE283">
        <v>8637.3799999999992</v>
      </c>
      <c r="BF283">
        <v>5496.74</v>
      </c>
      <c r="BG283">
        <v>2649.72</v>
      </c>
      <c r="BH283">
        <v>631.19000000000005</v>
      </c>
      <c r="BI283">
        <v>0</v>
      </c>
      <c r="BJ283">
        <v>0</v>
      </c>
      <c r="BK283">
        <v>487.19</v>
      </c>
      <c r="BL283">
        <v>4192.7</v>
      </c>
      <c r="BM283">
        <v>676.58</v>
      </c>
      <c r="BP283" s="3">
        <v>45645</v>
      </c>
      <c r="BQ283">
        <v>2892.39</v>
      </c>
    </row>
    <row r="284" spans="1:71" x14ac:dyDescent="0.25">
      <c r="A284" t="s">
        <v>433</v>
      </c>
      <c r="B284" t="s">
        <v>127</v>
      </c>
      <c r="C284" s="2">
        <f>HYPERLINK("https://szao.dolgi.msk.ru/account/3470086391/", 3470086391)</f>
        <v>3470086391</v>
      </c>
      <c r="D284" t="s">
        <v>29</v>
      </c>
      <c r="E284">
        <v>13294.67</v>
      </c>
      <c r="AX284">
        <v>2.84</v>
      </c>
      <c r="AY284">
        <v>2.86</v>
      </c>
      <c r="AZ284" t="s">
        <v>69</v>
      </c>
      <c r="BA284" t="s">
        <v>31</v>
      </c>
      <c r="BB284">
        <v>13294.67</v>
      </c>
      <c r="BC284">
        <v>13294.67</v>
      </c>
      <c r="BD284">
        <v>13294.67</v>
      </c>
      <c r="BE284">
        <v>13294.67</v>
      </c>
      <c r="BF284">
        <v>8643.34</v>
      </c>
      <c r="BG284">
        <v>3518.63</v>
      </c>
      <c r="BH284">
        <v>1768.89</v>
      </c>
      <c r="BI284">
        <v>0</v>
      </c>
      <c r="BJ284">
        <v>0</v>
      </c>
      <c r="BK284">
        <v>1358.01</v>
      </c>
      <c r="BL284">
        <v>5749.05</v>
      </c>
      <c r="BM284">
        <v>900.09</v>
      </c>
      <c r="BP284" s="3">
        <v>45602</v>
      </c>
      <c r="BQ284">
        <v>4014.05</v>
      </c>
    </row>
    <row r="285" spans="1:71" x14ac:dyDescent="0.25">
      <c r="A285" t="s">
        <v>433</v>
      </c>
      <c r="B285" t="s">
        <v>194</v>
      </c>
      <c r="C285" s="2">
        <f>HYPERLINK("https://szao.dolgi.msk.ru/account/3470085663/", 3470085663)</f>
        <v>3470085663</v>
      </c>
      <c r="D285" t="s">
        <v>29</v>
      </c>
      <c r="E285">
        <v>16894.060000000001</v>
      </c>
      <c r="AX285">
        <v>2.83</v>
      </c>
      <c r="AY285">
        <v>2.84</v>
      </c>
      <c r="AZ285" t="s">
        <v>40</v>
      </c>
      <c r="BA285" t="s">
        <v>31</v>
      </c>
      <c r="BB285">
        <v>16894.060000000001</v>
      </c>
      <c r="BC285">
        <v>16894.060000000001</v>
      </c>
      <c r="BD285">
        <v>16894.060000000001</v>
      </c>
      <c r="BE285">
        <v>16894.060000000001</v>
      </c>
      <c r="BF285">
        <v>10248.86</v>
      </c>
      <c r="BG285">
        <v>4748.8599999999997</v>
      </c>
      <c r="BH285">
        <v>1794.01</v>
      </c>
      <c r="BI285">
        <v>0</v>
      </c>
      <c r="BJ285">
        <v>0</v>
      </c>
      <c r="BK285">
        <v>1377.29</v>
      </c>
      <c r="BL285">
        <v>7759.11</v>
      </c>
      <c r="BM285">
        <v>1214.79</v>
      </c>
      <c r="BP285" s="3">
        <v>45636</v>
      </c>
      <c r="BQ285">
        <v>5130.6899999999996</v>
      </c>
    </row>
    <row r="286" spans="1:71" x14ac:dyDescent="0.25">
      <c r="A286" t="s">
        <v>433</v>
      </c>
      <c r="B286" t="s">
        <v>397</v>
      </c>
      <c r="C286" s="2">
        <f>HYPERLINK("https://szao.dolgi.msk.ru/account/3470085823/", 3470085823)</f>
        <v>3470085823</v>
      </c>
      <c r="D286" t="s">
        <v>29</v>
      </c>
      <c r="E286">
        <v>34344.03</v>
      </c>
      <c r="AX286">
        <v>3.76</v>
      </c>
      <c r="AY286">
        <v>3.78</v>
      </c>
      <c r="AZ286" t="s">
        <v>40</v>
      </c>
      <c r="BA286" t="s">
        <v>49</v>
      </c>
      <c r="BB286">
        <v>34344.03</v>
      </c>
      <c r="BC286">
        <v>34344.03</v>
      </c>
      <c r="BD286">
        <v>34344.03</v>
      </c>
      <c r="BE286">
        <v>34344.03</v>
      </c>
      <c r="BF286">
        <v>34085.300000000003</v>
      </c>
      <c r="BG286">
        <v>3594.83</v>
      </c>
      <c r="BH286">
        <v>13431.42</v>
      </c>
      <c r="BI286">
        <v>0</v>
      </c>
      <c r="BJ286">
        <v>0</v>
      </c>
      <c r="BK286">
        <v>10359.780000000001</v>
      </c>
      <c r="BL286">
        <v>6016.09</v>
      </c>
      <c r="BM286">
        <v>941.91</v>
      </c>
      <c r="BN286">
        <v>17655.2</v>
      </c>
      <c r="BP286" s="3">
        <v>45694</v>
      </c>
      <c r="BQ286">
        <v>8827.6</v>
      </c>
      <c r="BR286" s="3">
        <v>45567</v>
      </c>
      <c r="BS286" t="s">
        <v>434</v>
      </c>
    </row>
    <row r="287" spans="1:71" x14ac:dyDescent="0.25">
      <c r="A287" t="s">
        <v>433</v>
      </c>
      <c r="B287" t="s">
        <v>227</v>
      </c>
      <c r="C287" s="2">
        <f>HYPERLINK("https://szao.dolgi.msk.ru/account/3470085858/", 3470085858)</f>
        <v>3470085858</v>
      </c>
      <c r="D287" t="s">
        <v>29</v>
      </c>
      <c r="E287">
        <v>39290.51</v>
      </c>
      <c r="AX287">
        <v>8.9499999999999993</v>
      </c>
      <c r="AY287">
        <v>10.07</v>
      </c>
      <c r="AZ287" t="s">
        <v>45</v>
      </c>
      <c r="BA287" t="s">
        <v>66</v>
      </c>
      <c r="BB287">
        <v>39290.51</v>
      </c>
      <c r="BC287">
        <v>39290.51</v>
      </c>
      <c r="BD287">
        <v>39290.51</v>
      </c>
      <c r="BE287">
        <v>39290.51</v>
      </c>
      <c r="BF287">
        <v>35555.15</v>
      </c>
      <c r="BG287">
        <v>7839.86</v>
      </c>
      <c r="BH287">
        <v>9817.14</v>
      </c>
      <c r="BI287">
        <v>0</v>
      </c>
      <c r="BJ287">
        <v>0</v>
      </c>
      <c r="BK287">
        <v>7583.67</v>
      </c>
      <c r="BL287">
        <v>11913.34</v>
      </c>
      <c r="BM287">
        <v>2136.5</v>
      </c>
      <c r="BP287" s="3">
        <v>45457</v>
      </c>
      <c r="BQ287">
        <v>7236.39</v>
      </c>
      <c r="BR287" s="3">
        <v>44890</v>
      </c>
      <c r="BS287" t="s">
        <v>435</v>
      </c>
    </row>
    <row r="288" spans="1:71" x14ac:dyDescent="0.25">
      <c r="A288" t="s">
        <v>433</v>
      </c>
      <c r="B288" t="s">
        <v>436</v>
      </c>
      <c r="C288" s="2">
        <f>HYPERLINK("https://szao.dolgi.msk.ru/account/3470086519/", 3470086519)</f>
        <v>3470086519</v>
      </c>
      <c r="D288" t="s">
        <v>29</v>
      </c>
      <c r="E288">
        <v>140414.97</v>
      </c>
      <c r="AX288">
        <v>29.66</v>
      </c>
      <c r="AY288">
        <v>25.94</v>
      </c>
      <c r="AZ288" t="s">
        <v>35</v>
      </c>
      <c r="BA288" t="s">
        <v>36</v>
      </c>
      <c r="BB288">
        <v>140414.97</v>
      </c>
      <c r="BC288">
        <v>140414.97</v>
      </c>
      <c r="BD288">
        <v>140414.97</v>
      </c>
      <c r="BE288">
        <v>140414.97</v>
      </c>
      <c r="BF288">
        <v>140414.97</v>
      </c>
      <c r="BG288">
        <v>27980.06</v>
      </c>
      <c r="BH288">
        <v>47680.82</v>
      </c>
      <c r="BI288">
        <v>0</v>
      </c>
      <c r="BJ288">
        <v>0</v>
      </c>
      <c r="BK288">
        <v>12780.57</v>
      </c>
      <c r="BL288">
        <v>46030.99</v>
      </c>
      <c r="BM288">
        <v>5942.53</v>
      </c>
      <c r="BN288">
        <v>3782.37</v>
      </c>
      <c r="BO288">
        <v>5413.32</v>
      </c>
      <c r="BP288" s="3">
        <v>45692</v>
      </c>
      <c r="BQ288">
        <v>5413.32</v>
      </c>
      <c r="BR288" s="3">
        <v>45583</v>
      </c>
      <c r="BS288" t="s">
        <v>437</v>
      </c>
    </row>
    <row r="289" spans="1:71" x14ac:dyDescent="0.25">
      <c r="A289" t="s">
        <v>438</v>
      </c>
      <c r="B289" t="s">
        <v>160</v>
      </c>
      <c r="C289" s="2">
        <f>HYPERLINK("https://szao.dolgi.msk.ru/account/3470086682/", 3470086682)</f>
        <v>3470086682</v>
      </c>
      <c r="D289" t="s">
        <v>29</v>
      </c>
      <c r="E289">
        <v>162553.92000000001</v>
      </c>
      <c r="AX289">
        <v>5.48</v>
      </c>
      <c r="AY289">
        <v>5.27</v>
      </c>
      <c r="AZ289" t="s">
        <v>69</v>
      </c>
      <c r="BA289" t="s">
        <v>49</v>
      </c>
      <c r="BB289">
        <v>162553.92000000001</v>
      </c>
      <c r="BC289">
        <v>162553.92000000001</v>
      </c>
      <c r="BD289">
        <v>162553.92000000001</v>
      </c>
      <c r="BE289">
        <v>162553.92000000001</v>
      </c>
      <c r="BF289">
        <v>132144.46</v>
      </c>
      <c r="BG289">
        <v>17245.86</v>
      </c>
      <c r="BH289">
        <v>23017.11</v>
      </c>
      <c r="BI289">
        <v>57142.75</v>
      </c>
      <c r="BJ289">
        <v>15748.51</v>
      </c>
      <c r="BK289">
        <v>29991.21</v>
      </c>
      <c r="BL289">
        <v>15316.54</v>
      </c>
      <c r="BM289">
        <v>4091.94</v>
      </c>
      <c r="BP289" s="3">
        <v>45558</v>
      </c>
      <c r="BQ289">
        <v>14351.99</v>
      </c>
    </row>
    <row r="290" spans="1:71" x14ac:dyDescent="0.25">
      <c r="A290" t="s">
        <v>438</v>
      </c>
      <c r="B290" t="s">
        <v>131</v>
      </c>
      <c r="C290" s="2">
        <f>HYPERLINK("https://szao.dolgi.msk.ru/account/3470087415/", 3470087415)</f>
        <v>3470087415</v>
      </c>
      <c r="D290" t="s">
        <v>29</v>
      </c>
      <c r="E290">
        <v>25784.49</v>
      </c>
      <c r="AX290">
        <v>3.94</v>
      </c>
      <c r="AY290">
        <v>4.4000000000000004</v>
      </c>
      <c r="AZ290" t="s">
        <v>35</v>
      </c>
      <c r="BA290" t="s">
        <v>49</v>
      </c>
      <c r="BB290">
        <v>25784.49</v>
      </c>
      <c r="BC290">
        <v>25784.49</v>
      </c>
      <c r="BD290">
        <v>27398.1</v>
      </c>
      <c r="BE290">
        <v>27398.1</v>
      </c>
      <c r="BF290">
        <v>39242.959999999999</v>
      </c>
      <c r="BG290">
        <v>5150.1099999999997</v>
      </c>
      <c r="BH290">
        <v>5964.3</v>
      </c>
      <c r="BI290">
        <v>-1613.61</v>
      </c>
      <c r="BJ290">
        <v>2088.52</v>
      </c>
      <c r="BK290">
        <v>7881.16</v>
      </c>
      <c r="BL290">
        <v>5214.8500000000004</v>
      </c>
      <c r="BM290">
        <v>1099.1600000000001</v>
      </c>
      <c r="BO290">
        <v>19690.080000000002</v>
      </c>
      <c r="BP290" s="3">
        <v>45696</v>
      </c>
      <c r="BQ290">
        <v>19690.080000000002</v>
      </c>
      <c r="BR290" s="3">
        <v>44792</v>
      </c>
      <c r="BS290" t="s">
        <v>439</v>
      </c>
    </row>
    <row r="291" spans="1:71" x14ac:dyDescent="0.25">
      <c r="A291" t="s">
        <v>438</v>
      </c>
      <c r="B291" t="s">
        <v>42</v>
      </c>
      <c r="C291" s="2">
        <f>HYPERLINK("https://szao.dolgi.msk.ru/account/3470087589/", 3470087589)</f>
        <v>3470087589</v>
      </c>
      <c r="D291" t="s">
        <v>29</v>
      </c>
      <c r="E291">
        <v>228835.7</v>
      </c>
      <c r="AX291">
        <v>21.18</v>
      </c>
      <c r="AY291">
        <v>20.100000000000001</v>
      </c>
      <c r="AZ291" t="s">
        <v>40</v>
      </c>
      <c r="BA291" t="s">
        <v>36</v>
      </c>
      <c r="BB291">
        <v>228835.7</v>
      </c>
      <c r="BC291">
        <v>228835.7</v>
      </c>
      <c r="BD291">
        <v>228835.7</v>
      </c>
      <c r="BE291">
        <v>228835.7</v>
      </c>
      <c r="BF291">
        <v>233088.37</v>
      </c>
      <c r="BG291">
        <v>31463.5</v>
      </c>
      <c r="BH291">
        <v>27822.16</v>
      </c>
      <c r="BI291">
        <v>59383.28</v>
      </c>
      <c r="BJ291">
        <v>19171.11</v>
      </c>
      <c r="BK291">
        <v>37476.65</v>
      </c>
      <c r="BL291">
        <v>43932.73</v>
      </c>
      <c r="BM291">
        <v>9586.27</v>
      </c>
      <c r="BN291">
        <v>19346.37</v>
      </c>
      <c r="BP291" s="3">
        <v>45696</v>
      </c>
      <c r="BQ291">
        <v>15639.19</v>
      </c>
      <c r="BR291" s="3">
        <v>45435</v>
      </c>
      <c r="BS291" t="s">
        <v>440</v>
      </c>
    </row>
    <row r="292" spans="1:71" x14ac:dyDescent="0.25">
      <c r="A292" t="s">
        <v>441</v>
      </c>
      <c r="B292" t="s">
        <v>136</v>
      </c>
      <c r="C292" s="2">
        <f>HYPERLINK("https://szao.dolgi.msk.ru/account/3470088514/", 3470088514)</f>
        <v>3470088514</v>
      </c>
      <c r="D292" t="s">
        <v>29</v>
      </c>
      <c r="E292">
        <v>29260.06</v>
      </c>
      <c r="AX292">
        <v>4.4800000000000004</v>
      </c>
      <c r="AY292">
        <v>4.46</v>
      </c>
      <c r="AZ292" t="s">
        <v>40</v>
      </c>
      <c r="BA292" t="s">
        <v>49</v>
      </c>
      <c r="BB292">
        <v>29260.06</v>
      </c>
      <c r="BC292">
        <v>29260.06</v>
      </c>
      <c r="BD292">
        <v>29260.06</v>
      </c>
      <c r="BE292">
        <v>29260.06</v>
      </c>
      <c r="BF292">
        <v>22697.21</v>
      </c>
      <c r="BG292">
        <v>8864.75</v>
      </c>
      <c r="BH292">
        <v>3244.14</v>
      </c>
      <c r="BI292">
        <v>3530.15</v>
      </c>
      <c r="BJ292">
        <v>994.16</v>
      </c>
      <c r="BK292">
        <v>3253.86</v>
      </c>
      <c r="BL292">
        <v>7628.9</v>
      </c>
      <c r="BM292">
        <v>1744.1</v>
      </c>
      <c r="BP292" s="3">
        <v>45653</v>
      </c>
      <c r="BQ292">
        <v>4840.63</v>
      </c>
    </row>
    <row r="293" spans="1:71" x14ac:dyDescent="0.25">
      <c r="A293" t="s">
        <v>442</v>
      </c>
      <c r="B293" t="s">
        <v>443</v>
      </c>
      <c r="C293" s="2">
        <f>HYPERLINK("https://szao.dolgi.msk.ru/account/3470090964/", 3470090964)</f>
        <v>3470090964</v>
      </c>
      <c r="D293" t="s">
        <v>29</v>
      </c>
      <c r="E293">
        <v>37972.83</v>
      </c>
      <c r="AX293">
        <v>8.24</v>
      </c>
      <c r="AY293">
        <v>7.63</v>
      </c>
      <c r="AZ293" t="s">
        <v>40</v>
      </c>
      <c r="BA293" t="s">
        <v>66</v>
      </c>
      <c r="BB293">
        <v>37972.83</v>
      </c>
      <c r="BC293">
        <v>37972.83</v>
      </c>
      <c r="BD293">
        <v>37972.83</v>
      </c>
      <c r="BE293">
        <v>37972.83</v>
      </c>
      <c r="BF293">
        <v>32999.129999999997</v>
      </c>
      <c r="BG293">
        <v>12634.83</v>
      </c>
      <c r="BH293">
        <v>4720.79</v>
      </c>
      <c r="BI293">
        <v>171.94</v>
      </c>
      <c r="BJ293">
        <v>1115.93</v>
      </c>
      <c r="BK293">
        <v>3863.91</v>
      </c>
      <c r="BL293">
        <v>12512.86</v>
      </c>
      <c r="BM293">
        <v>2952.57</v>
      </c>
      <c r="BN293">
        <v>12414.76</v>
      </c>
      <c r="BO293">
        <v>4973.7</v>
      </c>
      <c r="BP293" s="3">
        <v>45682</v>
      </c>
      <c r="BQ293">
        <v>12414.76</v>
      </c>
      <c r="BR293" s="3">
        <v>45513</v>
      </c>
      <c r="BS293" t="s">
        <v>444</v>
      </c>
    </row>
    <row r="294" spans="1:71" x14ac:dyDescent="0.25">
      <c r="A294" t="s">
        <v>442</v>
      </c>
      <c r="B294" t="s">
        <v>445</v>
      </c>
      <c r="C294" s="2">
        <f>HYPERLINK("https://szao.dolgi.msk.ru/account/3470332206/", 3470332206)</f>
        <v>3470332206</v>
      </c>
      <c r="D294" t="s">
        <v>29</v>
      </c>
      <c r="E294">
        <v>28070.25</v>
      </c>
      <c r="AX294">
        <v>12.3</v>
      </c>
      <c r="AY294">
        <v>13.4</v>
      </c>
      <c r="AZ294" t="s">
        <v>45</v>
      </c>
      <c r="BA294" t="s">
        <v>36</v>
      </c>
      <c r="BB294">
        <v>28070.25</v>
      </c>
      <c r="BC294">
        <v>28070.25</v>
      </c>
      <c r="BD294">
        <v>28070.25</v>
      </c>
      <c r="BE294">
        <v>28070.25</v>
      </c>
      <c r="BF294">
        <v>25975.82</v>
      </c>
      <c r="BG294">
        <v>4834.04</v>
      </c>
      <c r="BH294">
        <v>2925.74</v>
      </c>
      <c r="BI294">
        <v>8402.51</v>
      </c>
      <c r="BJ294">
        <v>2256.0100000000002</v>
      </c>
      <c r="BK294">
        <v>4017.65</v>
      </c>
      <c r="BL294">
        <v>4572.96</v>
      </c>
      <c r="BM294">
        <v>1061.3399999999999</v>
      </c>
      <c r="BP294" s="3">
        <v>45497</v>
      </c>
      <c r="BQ294">
        <v>2489.38</v>
      </c>
      <c r="BR294" s="3">
        <v>45502</v>
      </c>
      <c r="BS294" t="s">
        <v>446</v>
      </c>
    </row>
    <row r="295" spans="1:71" x14ac:dyDescent="0.25">
      <c r="A295" t="s">
        <v>442</v>
      </c>
      <c r="B295" t="s">
        <v>447</v>
      </c>
      <c r="C295" s="2">
        <f>HYPERLINK("https://szao.dolgi.msk.ru/account/3470089488/", 3470089488)</f>
        <v>3470089488</v>
      </c>
      <c r="D295" t="s">
        <v>29</v>
      </c>
      <c r="E295">
        <v>18589.41</v>
      </c>
      <c r="AX295">
        <v>2.78</v>
      </c>
      <c r="AY295">
        <v>2.79</v>
      </c>
      <c r="AZ295" t="s">
        <v>40</v>
      </c>
      <c r="BA295" t="s">
        <v>31</v>
      </c>
      <c r="BB295">
        <v>18589.41</v>
      </c>
      <c r="BC295">
        <v>18579.439999999999</v>
      </c>
      <c r="BD295">
        <v>18589.41</v>
      </c>
      <c r="BE295">
        <v>18579.439999999999</v>
      </c>
      <c r="BF295">
        <v>11919.3</v>
      </c>
      <c r="BG295">
        <v>6054.54</v>
      </c>
      <c r="BH295">
        <v>1122.25</v>
      </c>
      <c r="BI295">
        <v>2828.01</v>
      </c>
      <c r="BJ295">
        <v>810.25</v>
      </c>
      <c r="BK295">
        <v>1519.63</v>
      </c>
      <c r="BL295">
        <v>5108.16</v>
      </c>
      <c r="BM295">
        <v>1146.57</v>
      </c>
      <c r="BP295" s="3">
        <v>45610</v>
      </c>
      <c r="BQ295">
        <v>4687.25</v>
      </c>
    </row>
    <row r="296" spans="1:71" x14ac:dyDescent="0.25">
      <c r="A296" t="s">
        <v>442</v>
      </c>
      <c r="B296" t="s">
        <v>448</v>
      </c>
      <c r="C296" s="2">
        <f>HYPERLINK("https://szao.dolgi.msk.ru/account/3470089875/", 3470089875)</f>
        <v>3470089875</v>
      </c>
      <c r="D296" t="s">
        <v>29</v>
      </c>
      <c r="E296">
        <v>29139.29</v>
      </c>
      <c r="AX296">
        <v>6.94</v>
      </c>
      <c r="AY296">
        <v>4.95</v>
      </c>
      <c r="AZ296" t="s">
        <v>30</v>
      </c>
      <c r="BA296" t="s">
        <v>66</v>
      </c>
      <c r="BB296">
        <v>29139.29</v>
      </c>
      <c r="BC296">
        <v>29139.29</v>
      </c>
      <c r="BD296">
        <v>32424.15</v>
      </c>
      <c r="BE296">
        <v>32424.15</v>
      </c>
      <c r="BF296">
        <v>23252.07</v>
      </c>
      <c r="BG296">
        <v>11797.65</v>
      </c>
      <c r="BH296">
        <v>-3284.86</v>
      </c>
      <c r="BI296">
        <v>3639.01</v>
      </c>
      <c r="BJ296">
        <v>1014.12</v>
      </c>
      <c r="BK296">
        <v>1248.8499999999999</v>
      </c>
      <c r="BL296">
        <v>12063.77</v>
      </c>
      <c r="BM296">
        <v>2660.75</v>
      </c>
      <c r="BP296" s="3">
        <v>45652</v>
      </c>
      <c r="BQ296">
        <v>10103.92</v>
      </c>
      <c r="BR296" s="3">
        <v>44510</v>
      </c>
      <c r="BS296" t="s">
        <v>449</v>
      </c>
    </row>
    <row r="297" spans="1:71" x14ac:dyDescent="0.25">
      <c r="A297" t="s">
        <v>450</v>
      </c>
      <c r="B297" t="s">
        <v>284</v>
      </c>
      <c r="C297" s="2">
        <f>HYPERLINK("https://szao.dolgi.msk.ru/account/3470092302/", 3470092302)</f>
        <v>3470092302</v>
      </c>
      <c r="D297" t="s">
        <v>29</v>
      </c>
      <c r="E297">
        <v>32998.46</v>
      </c>
      <c r="AX297">
        <v>2.0499999999999998</v>
      </c>
      <c r="AY297">
        <v>1.95</v>
      </c>
      <c r="AZ297" t="s">
        <v>40</v>
      </c>
      <c r="BA297" t="s">
        <v>31</v>
      </c>
      <c r="BB297">
        <v>32998.46</v>
      </c>
      <c r="BC297">
        <v>32998.46</v>
      </c>
      <c r="BD297">
        <v>32998.46</v>
      </c>
      <c r="BE297">
        <v>32998.46</v>
      </c>
      <c r="BF297">
        <v>16045.8</v>
      </c>
      <c r="BG297">
        <v>2945.81</v>
      </c>
      <c r="BH297">
        <v>4976.5600000000004</v>
      </c>
      <c r="BI297">
        <v>12090.64</v>
      </c>
      <c r="BJ297">
        <v>4227.83</v>
      </c>
      <c r="BK297">
        <v>6434.74</v>
      </c>
      <c r="BL297">
        <v>1793.69</v>
      </c>
      <c r="BM297">
        <v>529.19000000000005</v>
      </c>
      <c r="BP297" s="3">
        <v>45667</v>
      </c>
      <c r="BQ297">
        <v>33065.4</v>
      </c>
      <c r="BR297" s="3">
        <v>44531</v>
      </c>
      <c r="BS297" t="s">
        <v>451</v>
      </c>
    </row>
    <row r="298" spans="1:71" x14ac:dyDescent="0.25">
      <c r="A298" t="s">
        <v>450</v>
      </c>
      <c r="B298" t="s">
        <v>445</v>
      </c>
      <c r="C298" s="2">
        <f>HYPERLINK("https://szao.dolgi.msk.ru/account/3470532443/", 3470532443)</f>
        <v>3470532443</v>
      </c>
      <c r="D298" t="s">
        <v>29</v>
      </c>
      <c r="E298">
        <v>140520.46</v>
      </c>
      <c r="AX298">
        <v>36.89</v>
      </c>
      <c r="AY298">
        <v>30.85</v>
      </c>
      <c r="AZ298" t="s">
        <v>56</v>
      </c>
      <c r="BA298" t="s">
        <v>36</v>
      </c>
      <c r="BB298">
        <v>140520.46</v>
      </c>
      <c r="BC298">
        <v>140520.46</v>
      </c>
      <c r="BD298">
        <v>153716.84</v>
      </c>
      <c r="BE298">
        <v>153716.84</v>
      </c>
      <c r="BF298">
        <v>135965.17000000001</v>
      </c>
      <c r="BG298">
        <v>63507.62</v>
      </c>
      <c r="BH298">
        <v>0</v>
      </c>
      <c r="BI298">
        <v>0</v>
      </c>
      <c r="BJ298">
        <v>0</v>
      </c>
      <c r="BK298">
        <v>-13196.38</v>
      </c>
      <c r="BL298">
        <v>77008.83</v>
      </c>
      <c r="BM298">
        <v>13200.39</v>
      </c>
      <c r="BP298" s="3">
        <v>45667</v>
      </c>
      <c r="BQ298">
        <v>7</v>
      </c>
      <c r="BR298" s="3">
        <v>45313</v>
      </c>
      <c r="BS298" t="s">
        <v>452</v>
      </c>
    </row>
    <row r="299" spans="1:71" x14ac:dyDescent="0.25">
      <c r="A299" t="s">
        <v>450</v>
      </c>
      <c r="B299" t="s">
        <v>366</v>
      </c>
      <c r="C299" s="2">
        <f>HYPERLINK("https://szao.dolgi.msk.ru/account/3470092839/", 3470092839)</f>
        <v>3470092839</v>
      </c>
      <c r="D299" t="s">
        <v>29</v>
      </c>
      <c r="E299">
        <v>530893.72</v>
      </c>
      <c r="AX299">
        <v>24.26</v>
      </c>
      <c r="AY299">
        <v>20.61</v>
      </c>
      <c r="AZ299" t="s">
        <v>40</v>
      </c>
      <c r="BA299" t="s">
        <v>36</v>
      </c>
      <c r="BB299">
        <v>530893.72</v>
      </c>
      <c r="BC299">
        <v>530893.72</v>
      </c>
      <c r="BD299">
        <v>530893.72</v>
      </c>
      <c r="BE299">
        <v>530893.72</v>
      </c>
      <c r="BF299">
        <v>510177.87</v>
      </c>
      <c r="BG299">
        <v>63312.87</v>
      </c>
      <c r="BH299">
        <v>53462.31</v>
      </c>
      <c r="BI299">
        <v>187990.1</v>
      </c>
      <c r="BJ299">
        <v>57024.91</v>
      </c>
      <c r="BK299">
        <v>85939.7</v>
      </c>
      <c r="BL299">
        <v>75110.34</v>
      </c>
      <c r="BM299">
        <v>8053.49</v>
      </c>
      <c r="BN299">
        <v>18498.78</v>
      </c>
      <c r="BP299" s="3">
        <v>45693</v>
      </c>
      <c r="BQ299">
        <v>5048.5600000000004</v>
      </c>
      <c r="BR299" s="3">
        <v>45692</v>
      </c>
      <c r="BS299" t="s">
        <v>128</v>
      </c>
    </row>
    <row r="300" spans="1:71" x14ac:dyDescent="0.25">
      <c r="A300" t="s">
        <v>450</v>
      </c>
      <c r="B300" t="s">
        <v>453</v>
      </c>
      <c r="C300" s="2">
        <f>HYPERLINK("https://szao.dolgi.msk.ru/account/3470091801/", 3470091801)</f>
        <v>3470091801</v>
      </c>
      <c r="D300" t="s">
        <v>29</v>
      </c>
      <c r="E300">
        <v>21412</v>
      </c>
      <c r="AX300">
        <v>2.34</v>
      </c>
      <c r="AY300">
        <v>2.52</v>
      </c>
      <c r="AZ300" t="s">
        <v>40</v>
      </c>
      <c r="BA300" t="s">
        <v>31</v>
      </c>
      <c r="BB300">
        <v>21412</v>
      </c>
      <c r="BC300">
        <v>21412</v>
      </c>
      <c r="BD300">
        <v>21412</v>
      </c>
      <c r="BE300">
        <v>21412</v>
      </c>
      <c r="BF300">
        <v>12898.32</v>
      </c>
      <c r="BG300">
        <v>4906.5600000000004</v>
      </c>
      <c r="BH300">
        <v>2055.09</v>
      </c>
      <c r="BI300">
        <v>4986.17</v>
      </c>
      <c r="BJ300">
        <v>1404.22</v>
      </c>
      <c r="BK300">
        <v>2655.8</v>
      </c>
      <c r="BL300">
        <v>4516.54</v>
      </c>
      <c r="BM300">
        <v>887.62</v>
      </c>
      <c r="BP300" s="3">
        <v>45644</v>
      </c>
      <c r="BQ300">
        <v>25006.46</v>
      </c>
      <c r="BR300" s="3">
        <v>45642</v>
      </c>
      <c r="BS300" t="s">
        <v>454</v>
      </c>
    </row>
    <row r="301" spans="1:71" x14ac:dyDescent="0.25">
      <c r="A301" t="s">
        <v>455</v>
      </c>
      <c r="B301" t="s">
        <v>48</v>
      </c>
      <c r="C301" s="2">
        <f>HYPERLINK("https://szao.dolgi.msk.ru/account/3470610827/", 3470610827)</f>
        <v>3470610827</v>
      </c>
      <c r="D301" t="s">
        <v>29</v>
      </c>
      <c r="E301">
        <v>19208.47</v>
      </c>
      <c r="AX301">
        <v>3.67</v>
      </c>
      <c r="AY301">
        <v>3.98</v>
      </c>
      <c r="AZ301" t="s">
        <v>69</v>
      </c>
      <c r="BA301" t="s">
        <v>49</v>
      </c>
      <c r="BB301">
        <v>19208.47</v>
      </c>
      <c r="BC301">
        <v>19208.47</v>
      </c>
      <c r="BD301">
        <v>19208.47</v>
      </c>
      <c r="BE301">
        <v>19208.47</v>
      </c>
      <c r="BF301">
        <v>14376.32</v>
      </c>
      <c r="BG301">
        <v>6124.27</v>
      </c>
      <c r="BH301">
        <v>1324.41</v>
      </c>
      <c r="BI301">
        <v>3217.67</v>
      </c>
      <c r="BJ301">
        <v>906.17</v>
      </c>
      <c r="BK301">
        <v>1712.48</v>
      </c>
      <c r="BL301">
        <v>4763.7</v>
      </c>
      <c r="BM301">
        <v>1159.77</v>
      </c>
    </row>
    <row r="302" spans="1:71" x14ac:dyDescent="0.25">
      <c r="A302" t="s">
        <v>455</v>
      </c>
      <c r="B302" t="s">
        <v>52</v>
      </c>
      <c r="C302" s="2">
        <f>HYPERLINK("https://szao.dolgi.msk.ru/account/3470094519/", 3470094519)</f>
        <v>3470094519</v>
      </c>
      <c r="D302" t="s">
        <v>29</v>
      </c>
      <c r="E302">
        <v>20058.580000000002</v>
      </c>
      <c r="AX302">
        <v>2.52</v>
      </c>
      <c r="AY302">
        <v>2.0099999999999998</v>
      </c>
      <c r="AZ302" t="s">
        <v>40</v>
      </c>
      <c r="BA302" t="s">
        <v>31</v>
      </c>
      <c r="BB302">
        <v>20058.580000000002</v>
      </c>
      <c r="BC302">
        <v>20058.580000000002</v>
      </c>
      <c r="BD302">
        <v>20058.580000000002</v>
      </c>
      <c r="BE302">
        <v>20058.580000000002</v>
      </c>
      <c r="BF302">
        <v>10100.61</v>
      </c>
      <c r="BG302">
        <v>5278.87</v>
      </c>
      <c r="BH302">
        <v>2708.6</v>
      </c>
      <c r="BI302">
        <v>4082.27</v>
      </c>
      <c r="BJ302">
        <v>1149.6600000000001</v>
      </c>
      <c r="BK302">
        <v>2962.1</v>
      </c>
      <c r="BL302">
        <v>2913.94</v>
      </c>
      <c r="BM302">
        <v>963.14</v>
      </c>
      <c r="BN302">
        <v>12482.67</v>
      </c>
      <c r="BP302" s="3">
        <v>45670</v>
      </c>
      <c r="BQ302">
        <v>12482.67</v>
      </c>
      <c r="BR302" s="3">
        <v>45512</v>
      </c>
      <c r="BS302" t="s">
        <v>456</v>
      </c>
    </row>
    <row r="303" spans="1:71" x14ac:dyDescent="0.25">
      <c r="A303" t="s">
        <v>455</v>
      </c>
      <c r="B303" t="s">
        <v>457</v>
      </c>
      <c r="C303" s="2">
        <f>HYPERLINK("https://szao.dolgi.msk.ru/account/3470093006/", 3470093006)</f>
        <v>3470093006</v>
      </c>
      <c r="D303" t="s">
        <v>29</v>
      </c>
      <c r="E303">
        <v>236691.1</v>
      </c>
      <c r="AX303">
        <v>24.02</v>
      </c>
      <c r="AY303">
        <v>22.61</v>
      </c>
      <c r="AZ303" t="s">
        <v>56</v>
      </c>
      <c r="BA303" t="s">
        <v>36</v>
      </c>
      <c r="BB303">
        <v>236691.1</v>
      </c>
      <c r="BC303">
        <v>236691.1</v>
      </c>
      <c r="BD303">
        <v>236691.1</v>
      </c>
      <c r="BE303">
        <v>236691.1</v>
      </c>
      <c r="BF303">
        <v>226222.86</v>
      </c>
      <c r="BG303">
        <v>69093.25</v>
      </c>
      <c r="BH303">
        <v>12950.02</v>
      </c>
      <c r="BI303">
        <v>43165.64</v>
      </c>
      <c r="BJ303">
        <v>11646.68</v>
      </c>
      <c r="BK303">
        <v>18977.78</v>
      </c>
      <c r="BL303">
        <v>64011.65</v>
      </c>
      <c r="BM303">
        <v>16846.080000000002</v>
      </c>
      <c r="BP303" s="3">
        <v>45417</v>
      </c>
      <c r="BQ303">
        <v>1000</v>
      </c>
      <c r="BR303" s="3">
        <v>45681</v>
      </c>
      <c r="BS303" t="s">
        <v>458</v>
      </c>
    </row>
    <row r="304" spans="1:71" x14ac:dyDescent="0.25">
      <c r="A304" t="s">
        <v>455</v>
      </c>
      <c r="B304" t="s">
        <v>459</v>
      </c>
      <c r="C304" s="2">
        <f>HYPERLINK("https://szao.dolgi.msk.ru/account/3470093276/", 3470093276)</f>
        <v>3470093276</v>
      </c>
      <c r="D304" t="s">
        <v>29</v>
      </c>
      <c r="E304">
        <v>26945.77</v>
      </c>
      <c r="AX304">
        <v>5.15</v>
      </c>
      <c r="AY304">
        <v>5.79</v>
      </c>
      <c r="AZ304" t="s">
        <v>35</v>
      </c>
      <c r="BA304" t="s">
        <v>49</v>
      </c>
      <c r="BB304">
        <v>26945.77</v>
      </c>
      <c r="BC304">
        <v>26945.77</v>
      </c>
      <c r="BD304">
        <v>28045.53</v>
      </c>
      <c r="BE304">
        <v>28045.53</v>
      </c>
      <c r="BF304">
        <v>38970.22</v>
      </c>
      <c r="BG304">
        <v>1180.32</v>
      </c>
      <c r="BH304">
        <v>3046.13</v>
      </c>
      <c r="BI304">
        <v>14488.71</v>
      </c>
      <c r="BJ304">
        <v>3505.37</v>
      </c>
      <c r="BK304">
        <v>5705.13</v>
      </c>
      <c r="BL304">
        <v>-1099.76</v>
      </c>
      <c r="BM304">
        <v>119.87</v>
      </c>
      <c r="BN304">
        <v>3792.86</v>
      </c>
      <c r="BO304">
        <v>17990.650000000001</v>
      </c>
      <c r="BP304" s="3">
        <v>45696</v>
      </c>
      <c r="BQ304">
        <v>13341.89</v>
      </c>
      <c r="BR304" s="3">
        <v>45271</v>
      </c>
      <c r="BS304" t="s">
        <v>460</v>
      </c>
    </row>
    <row r="305" spans="1:71" x14ac:dyDescent="0.25">
      <c r="A305" t="s">
        <v>455</v>
      </c>
      <c r="B305" t="s">
        <v>461</v>
      </c>
      <c r="C305" s="2">
        <f>HYPERLINK("https://szao.dolgi.msk.ru/account/3470093284/", 3470093284)</f>
        <v>3470093284</v>
      </c>
      <c r="D305" t="s">
        <v>29</v>
      </c>
      <c r="E305">
        <v>19982.41</v>
      </c>
      <c r="AX305">
        <v>2.4</v>
      </c>
      <c r="AY305">
        <v>2.3199999999999998</v>
      </c>
      <c r="AZ305" t="s">
        <v>35</v>
      </c>
      <c r="BA305" t="s">
        <v>31</v>
      </c>
      <c r="BB305">
        <v>19982.41</v>
      </c>
      <c r="BC305">
        <v>19982.41</v>
      </c>
      <c r="BD305">
        <v>19982.41</v>
      </c>
      <c r="BE305">
        <v>19982.41</v>
      </c>
      <c r="BF305">
        <v>11363.6</v>
      </c>
      <c r="BG305">
        <v>7205.02</v>
      </c>
      <c r="BH305">
        <v>979.22</v>
      </c>
      <c r="BI305">
        <v>3129.6</v>
      </c>
      <c r="BJ305">
        <v>910.66</v>
      </c>
      <c r="BK305">
        <v>1463.29</v>
      </c>
      <c r="BL305">
        <v>4930.1899999999996</v>
      </c>
      <c r="BM305">
        <v>1364.43</v>
      </c>
      <c r="BN305">
        <v>5991.32</v>
      </c>
      <c r="BP305" s="3">
        <v>45679</v>
      </c>
      <c r="BQ305">
        <v>5991.32</v>
      </c>
    </row>
    <row r="306" spans="1:71" x14ac:dyDescent="0.25">
      <c r="A306" t="s">
        <v>455</v>
      </c>
      <c r="B306" t="s">
        <v>448</v>
      </c>
      <c r="C306" s="2">
        <f>HYPERLINK("https://szao.dolgi.msk.ru/account/3470532398/", 3470532398)</f>
        <v>3470532398</v>
      </c>
      <c r="D306" t="s">
        <v>29</v>
      </c>
      <c r="E306">
        <v>494042.31</v>
      </c>
      <c r="AX306">
        <v>20.97</v>
      </c>
      <c r="AY306">
        <v>19.52</v>
      </c>
      <c r="AZ306" t="s">
        <v>56</v>
      </c>
      <c r="BA306" t="s">
        <v>36</v>
      </c>
      <c r="BB306">
        <v>494042.31</v>
      </c>
      <c r="BC306">
        <v>494042.31</v>
      </c>
      <c r="BD306">
        <v>494042.31</v>
      </c>
      <c r="BE306">
        <v>494042.31</v>
      </c>
      <c r="BF306">
        <v>468737.85</v>
      </c>
      <c r="BG306">
        <v>96133.79</v>
      </c>
      <c r="BH306">
        <v>61605.09</v>
      </c>
      <c r="BI306">
        <v>155135.12</v>
      </c>
      <c r="BJ306">
        <v>41593.9</v>
      </c>
      <c r="BK306">
        <v>45627.51</v>
      </c>
      <c r="BL306">
        <v>77396.03</v>
      </c>
      <c r="BM306">
        <v>16550.87</v>
      </c>
      <c r="BP306" s="3">
        <v>45656</v>
      </c>
      <c r="BQ306">
        <v>0</v>
      </c>
      <c r="BR306" s="3">
        <v>45625</v>
      </c>
      <c r="BS306" t="s">
        <v>462</v>
      </c>
    </row>
    <row r="307" spans="1:71" x14ac:dyDescent="0.25">
      <c r="A307" t="s">
        <v>463</v>
      </c>
      <c r="B307" t="s">
        <v>364</v>
      </c>
      <c r="C307" s="2">
        <f>HYPERLINK("https://szao.dolgi.msk.ru/account/3470095255/", 3470095255)</f>
        <v>3470095255</v>
      </c>
      <c r="D307" t="s">
        <v>29</v>
      </c>
      <c r="E307">
        <v>17196.96</v>
      </c>
      <c r="AX307">
        <v>5.25</v>
      </c>
      <c r="AY307">
        <v>4.9000000000000004</v>
      </c>
      <c r="AZ307" t="s">
        <v>30</v>
      </c>
      <c r="BA307" t="s">
        <v>49</v>
      </c>
      <c r="BB307">
        <v>17196.96</v>
      </c>
      <c r="BC307">
        <v>17196.96</v>
      </c>
      <c r="BD307">
        <v>17196.96</v>
      </c>
      <c r="BE307">
        <v>17196.96</v>
      </c>
      <c r="BF307">
        <v>13689.43</v>
      </c>
      <c r="BG307">
        <v>5606.81</v>
      </c>
      <c r="BH307">
        <v>3404.61</v>
      </c>
      <c r="BI307">
        <v>0</v>
      </c>
      <c r="BJ307">
        <v>0</v>
      </c>
      <c r="BK307">
        <v>2647.62</v>
      </c>
      <c r="BL307">
        <v>4779.5</v>
      </c>
      <c r="BM307">
        <v>758.42</v>
      </c>
      <c r="BP307" s="3">
        <v>45623</v>
      </c>
      <c r="BQ307">
        <v>5087.9799999999996</v>
      </c>
      <c r="BR307" s="3">
        <v>44510</v>
      </c>
      <c r="BS307" t="s">
        <v>464</v>
      </c>
    </row>
    <row r="308" spans="1:71" x14ac:dyDescent="0.25">
      <c r="A308" t="s">
        <v>463</v>
      </c>
      <c r="B308" t="s">
        <v>279</v>
      </c>
      <c r="C308" s="2">
        <f>HYPERLINK("https://szao.dolgi.msk.ru/account/3470095458/", 3470095458)</f>
        <v>3470095458</v>
      </c>
      <c r="D308" t="s">
        <v>29</v>
      </c>
      <c r="E308">
        <v>34359.589999999997</v>
      </c>
      <c r="AX308">
        <v>6.87</v>
      </c>
      <c r="AY308">
        <v>7.06</v>
      </c>
      <c r="AZ308" t="s">
        <v>69</v>
      </c>
      <c r="BA308" t="s">
        <v>66</v>
      </c>
      <c r="BB308">
        <v>34359.589999999997</v>
      </c>
      <c r="BC308">
        <v>34359.589999999997</v>
      </c>
      <c r="BD308">
        <v>34359.589999999997</v>
      </c>
      <c r="BE308">
        <v>34359.589999999997</v>
      </c>
      <c r="BF308">
        <v>29490.46</v>
      </c>
      <c r="BG308">
        <v>8207.58</v>
      </c>
      <c r="BH308">
        <v>6550.8</v>
      </c>
      <c r="BI308">
        <v>0</v>
      </c>
      <c r="BJ308">
        <v>0</v>
      </c>
      <c r="BK308">
        <v>3110.12</v>
      </c>
      <c r="BL308">
        <v>14272.79</v>
      </c>
      <c r="BM308">
        <v>2218.3000000000002</v>
      </c>
      <c r="BP308" s="3">
        <v>45511</v>
      </c>
      <c r="BQ308">
        <v>18391.37</v>
      </c>
    </row>
    <row r="309" spans="1:71" x14ac:dyDescent="0.25">
      <c r="A309" t="s">
        <v>463</v>
      </c>
      <c r="B309" t="s">
        <v>90</v>
      </c>
      <c r="C309" s="2">
        <f>HYPERLINK("https://szao.dolgi.msk.ru/account/3470095896/", 3470095896)</f>
        <v>3470095896</v>
      </c>
      <c r="D309" t="s">
        <v>29</v>
      </c>
      <c r="E309">
        <v>29073.09</v>
      </c>
      <c r="AX309">
        <v>3.64</v>
      </c>
      <c r="AY309">
        <v>3.64</v>
      </c>
      <c r="AZ309" t="s">
        <v>35</v>
      </c>
      <c r="BA309" t="s">
        <v>49</v>
      </c>
      <c r="BB309">
        <v>29073.09</v>
      </c>
      <c r="BC309">
        <v>29073.09</v>
      </c>
      <c r="BD309">
        <v>29073.09</v>
      </c>
      <c r="BE309">
        <v>29073.09</v>
      </c>
      <c r="BF309">
        <v>21085.91</v>
      </c>
      <c r="BG309">
        <v>4605.67</v>
      </c>
      <c r="BH309">
        <v>8734.3799999999992</v>
      </c>
      <c r="BI309">
        <v>0</v>
      </c>
      <c r="BJ309">
        <v>0</v>
      </c>
      <c r="BK309">
        <v>6774.22</v>
      </c>
      <c r="BL309">
        <v>7697.62</v>
      </c>
      <c r="BM309">
        <v>1261.2</v>
      </c>
      <c r="BN309">
        <v>7639.79</v>
      </c>
      <c r="BP309" s="3">
        <v>45670</v>
      </c>
      <c r="BQ309">
        <v>7639.79</v>
      </c>
      <c r="BR309" s="3">
        <v>45229</v>
      </c>
      <c r="BS309" t="s">
        <v>465</v>
      </c>
    </row>
    <row r="310" spans="1:71" x14ac:dyDescent="0.25">
      <c r="A310" t="s">
        <v>466</v>
      </c>
      <c r="B310" t="s">
        <v>88</v>
      </c>
      <c r="C310" s="2">
        <f>HYPERLINK("https://szao.dolgi.msk.ru/account/3470096717/", 3470096717)</f>
        <v>3470096717</v>
      </c>
      <c r="D310" t="s">
        <v>29</v>
      </c>
      <c r="E310">
        <v>5333.89</v>
      </c>
      <c r="AX310">
        <v>2</v>
      </c>
      <c r="AY310">
        <v>1</v>
      </c>
      <c r="AZ310" t="s">
        <v>35</v>
      </c>
      <c r="BA310" t="s">
        <v>31</v>
      </c>
      <c r="BB310">
        <v>5333.89</v>
      </c>
      <c r="BC310">
        <v>5333.89</v>
      </c>
      <c r="BD310">
        <v>5333.89</v>
      </c>
      <c r="BE310">
        <v>5333.89</v>
      </c>
      <c r="BF310">
        <v>0</v>
      </c>
      <c r="BG310">
        <v>2276.5100000000002</v>
      </c>
      <c r="BH310">
        <v>130.80000000000001</v>
      </c>
      <c r="BI310">
        <v>379.19</v>
      </c>
      <c r="BJ310">
        <v>106.79</v>
      </c>
      <c r="BK310">
        <v>182.41</v>
      </c>
      <c r="BL310">
        <v>1895.07</v>
      </c>
      <c r="BM310">
        <v>363.12</v>
      </c>
      <c r="BN310">
        <v>4796.95</v>
      </c>
      <c r="BP310" s="3">
        <v>45672</v>
      </c>
      <c r="BQ310">
        <v>4796.95</v>
      </c>
      <c r="BR310" s="3">
        <v>45266</v>
      </c>
      <c r="BS310" t="s">
        <v>467</v>
      </c>
    </row>
    <row r="311" spans="1:71" x14ac:dyDescent="0.25">
      <c r="A311" t="s">
        <v>468</v>
      </c>
      <c r="B311" t="s">
        <v>469</v>
      </c>
      <c r="C311" s="2">
        <f>HYPERLINK("https://szao.dolgi.msk.ru/account/3470097883/", 3470097883)</f>
        <v>3470097883</v>
      </c>
      <c r="D311" t="s">
        <v>29</v>
      </c>
      <c r="E311">
        <v>23112.73</v>
      </c>
      <c r="AX311">
        <v>2.12</v>
      </c>
      <c r="AY311">
        <v>2.0299999999999998</v>
      </c>
      <c r="AZ311" t="s">
        <v>40</v>
      </c>
      <c r="BA311" t="s">
        <v>31</v>
      </c>
      <c r="BB311">
        <v>23112.73</v>
      </c>
      <c r="BC311">
        <v>23112.73</v>
      </c>
      <c r="BD311">
        <v>23112.73</v>
      </c>
      <c r="BE311">
        <v>23112.73</v>
      </c>
      <c r="BF311">
        <v>11700.35</v>
      </c>
      <c r="BG311">
        <v>5850.69</v>
      </c>
      <c r="BH311">
        <v>1950.54</v>
      </c>
      <c r="BI311">
        <v>4846.92</v>
      </c>
      <c r="BJ311">
        <v>1334.57</v>
      </c>
      <c r="BK311">
        <v>2542.39</v>
      </c>
      <c r="BL311">
        <v>5449.64</v>
      </c>
      <c r="BM311">
        <v>1137.98</v>
      </c>
      <c r="BP311" s="3">
        <v>45667</v>
      </c>
      <c r="BQ311">
        <v>6363.21</v>
      </c>
      <c r="BR311" s="3">
        <v>45502</v>
      </c>
      <c r="BS311" t="s">
        <v>128</v>
      </c>
    </row>
    <row r="312" spans="1:71" x14ac:dyDescent="0.25">
      <c r="A312" t="s">
        <v>468</v>
      </c>
      <c r="B312" t="s">
        <v>470</v>
      </c>
      <c r="C312" s="2">
        <f>HYPERLINK("https://szao.dolgi.msk.ru/account/3470098114/", 3470098114)</f>
        <v>3470098114</v>
      </c>
      <c r="D312" t="s">
        <v>29</v>
      </c>
      <c r="E312">
        <v>21374.639999999999</v>
      </c>
      <c r="AX312">
        <v>6.1</v>
      </c>
      <c r="AY312">
        <v>6.05</v>
      </c>
      <c r="AZ312" t="s">
        <v>69</v>
      </c>
      <c r="BA312" t="s">
        <v>66</v>
      </c>
      <c r="BB312">
        <v>21374.639999999999</v>
      </c>
      <c r="BC312">
        <v>21374.639999999999</v>
      </c>
      <c r="BD312">
        <v>21374.639999999999</v>
      </c>
      <c r="BE312">
        <v>21374.639999999999</v>
      </c>
      <c r="BF312">
        <v>17842.28</v>
      </c>
      <c r="BG312">
        <v>12806.84</v>
      </c>
      <c r="BH312">
        <v>186.68</v>
      </c>
      <c r="BI312">
        <v>389.61</v>
      </c>
      <c r="BJ312">
        <v>108.55</v>
      </c>
      <c r="BK312">
        <v>235.65</v>
      </c>
      <c r="BL312">
        <v>6367.17</v>
      </c>
      <c r="BM312">
        <v>1280.1400000000001</v>
      </c>
      <c r="BP312" s="3">
        <v>45524</v>
      </c>
      <c r="BQ312">
        <v>5072.07</v>
      </c>
      <c r="BR312" s="3">
        <v>45502</v>
      </c>
      <c r="BS312" t="s">
        <v>128</v>
      </c>
    </row>
    <row r="313" spans="1:71" x14ac:dyDescent="0.25">
      <c r="A313" t="s">
        <v>471</v>
      </c>
      <c r="B313" t="s">
        <v>80</v>
      </c>
      <c r="C313" s="2">
        <f>HYPERLINK("https://szao.dolgi.msk.ru/account/3470099555/", 3470099555)</f>
        <v>3470099555</v>
      </c>
      <c r="D313" t="s">
        <v>29</v>
      </c>
      <c r="E313">
        <v>18848.650000000001</v>
      </c>
      <c r="AX313">
        <v>2.93</v>
      </c>
      <c r="AY313">
        <v>2.99</v>
      </c>
      <c r="AZ313" t="s">
        <v>69</v>
      </c>
      <c r="BA313" t="s">
        <v>31</v>
      </c>
      <c r="BB313">
        <v>18848.650000000001</v>
      </c>
      <c r="BC313">
        <v>18848.650000000001</v>
      </c>
      <c r="BD313">
        <v>18848.650000000001</v>
      </c>
      <c r="BE313">
        <v>18848.650000000001</v>
      </c>
      <c r="BF313">
        <v>12536.88</v>
      </c>
      <c r="BG313">
        <v>6496.14</v>
      </c>
      <c r="BH313">
        <v>966.77</v>
      </c>
      <c r="BI313">
        <v>2300.35</v>
      </c>
      <c r="BJ313">
        <v>647.83000000000004</v>
      </c>
      <c r="BK313">
        <v>1239.57</v>
      </c>
      <c r="BL313">
        <v>5967.78</v>
      </c>
      <c r="BM313">
        <v>1230.21</v>
      </c>
      <c r="BP313" s="3">
        <v>45580</v>
      </c>
      <c r="BQ313">
        <v>5043.07</v>
      </c>
      <c r="BR313" s="3">
        <v>44510</v>
      </c>
      <c r="BS313" t="s">
        <v>472</v>
      </c>
    </row>
    <row r="314" spans="1:71" x14ac:dyDescent="0.25">
      <c r="A314" t="s">
        <v>471</v>
      </c>
      <c r="B314" t="s">
        <v>473</v>
      </c>
      <c r="C314" s="2">
        <f>HYPERLINK("https://szao.dolgi.msk.ru/account/3470099619/", 3470099619)</f>
        <v>3470099619</v>
      </c>
      <c r="D314" t="s">
        <v>29</v>
      </c>
      <c r="E314">
        <v>476969.82</v>
      </c>
      <c r="AX314">
        <v>29.73</v>
      </c>
      <c r="AY314">
        <v>28.03</v>
      </c>
      <c r="AZ314" t="s">
        <v>30</v>
      </c>
      <c r="BA314" t="s">
        <v>36</v>
      </c>
      <c r="BB314">
        <v>476969.82</v>
      </c>
      <c r="BC314">
        <v>476969.82</v>
      </c>
      <c r="BD314">
        <v>476969.82</v>
      </c>
      <c r="BE314">
        <v>476969.82</v>
      </c>
      <c r="BF314">
        <v>459950.98</v>
      </c>
      <c r="BG314">
        <v>60508.08</v>
      </c>
      <c r="BH314">
        <v>62372.65</v>
      </c>
      <c r="BI314">
        <v>160720.17000000001</v>
      </c>
      <c r="BJ314">
        <v>42907.83</v>
      </c>
      <c r="BK314">
        <v>81208.75</v>
      </c>
      <c r="BL314">
        <v>58426.7</v>
      </c>
      <c r="BM314">
        <v>10825.64</v>
      </c>
      <c r="BP314" s="3">
        <v>45622</v>
      </c>
      <c r="BQ314">
        <v>15228.8</v>
      </c>
      <c r="BR314" s="3">
        <v>45349</v>
      </c>
      <c r="BS314" t="s">
        <v>474</v>
      </c>
    </row>
    <row r="315" spans="1:71" x14ac:dyDescent="0.25">
      <c r="A315" t="s">
        <v>471</v>
      </c>
      <c r="B315" t="s">
        <v>313</v>
      </c>
      <c r="C315" s="2">
        <f>HYPERLINK("https://szao.dolgi.msk.ru/account/3470099758/", 3470099758)</f>
        <v>3470099758</v>
      </c>
      <c r="D315" t="s">
        <v>29</v>
      </c>
      <c r="E315">
        <v>16960.09</v>
      </c>
      <c r="AX315">
        <v>4.5599999999999996</v>
      </c>
      <c r="AY315">
        <v>4.55</v>
      </c>
      <c r="AZ315" t="s">
        <v>40</v>
      </c>
      <c r="BA315" t="s">
        <v>49</v>
      </c>
      <c r="BB315">
        <v>16960.09</v>
      </c>
      <c r="BC315">
        <v>16960.09</v>
      </c>
      <c r="BD315">
        <v>16960.09</v>
      </c>
      <c r="BE315">
        <v>16960.09</v>
      </c>
      <c r="BF315">
        <v>13232.82</v>
      </c>
      <c r="BG315">
        <v>5816.61</v>
      </c>
      <c r="BH315">
        <v>1822.69</v>
      </c>
      <c r="BI315">
        <v>1274.04</v>
      </c>
      <c r="BJ315">
        <v>358.8</v>
      </c>
      <c r="BK315">
        <v>992.2</v>
      </c>
      <c r="BL315">
        <v>5551.4</v>
      </c>
      <c r="BM315">
        <v>1144.3499999999999</v>
      </c>
      <c r="BP315" s="3">
        <v>45635</v>
      </c>
      <c r="BQ315">
        <v>2646</v>
      </c>
      <c r="BR315" s="3">
        <v>45503</v>
      </c>
      <c r="BS315" t="s">
        <v>475</v>
      </c>
    </row>
    <row r="316" spans="1:71" x14ac:dyDescent="0.25">
      <c r="A316" t="s">
        <v>471</v>
      </c>
      <c r="B316" t="s">
        <v>476</v>
      </c>
      <c r="C316" s="2">
        <f>HYPERLINK("https://szao.dolgi.msk.ru/account/3470553818/", 3470553818)</f>
        <v>3470553818</v>
      </c>
      <c r="D316" t="s">
        <v>29</v>
      </c>
      <c r="E316">
        <v>63981.16</v>
      </c>
      <c r="AX316">
        <v>7.03</v>
      </c>
      <c r="AY316">
        <v>6.76</v>
      </c>
      <c r="AZ316" t="s">
        <v>30</v>
      </c>
      <c r="BA316" t="s">
        <v>66</v>
      </c>
      <c r="BB316">
        <v>63981.16</v>
      </c>
      <c r="BC316">
        <v>63981.16</v>
      </c>
      <c r="BD316">
        <v>63981.16</v>
      </c>
      <c r="BE316">
        <v>63981.16</v>
      </c>
      <c r="BF316">
        <v>54515.94</v>
      </c>
      <c r="BG316">
        <v>11801.63</v>
      </c>
      <c r="BH316">
        <v>10934.91</v>
      </c>
      <c r="BI316">
        <v>12525.64</v>
      </c>
      <c r="BJ316">
        <v>3436.21</v>
      </c>
      <c r="BK316">
        <v>11138.38</v>
      </c>
      <c r="BL316">
        <v>11666.49</v>
      </c>
      <c r="BM316">
        <v>2477.9</v>
      </c>
      <c r="BP316" s="3">
        <v>45603</v>
      </c>
      <c r="BQ316">
        <v>11749.83</v>
      </c>
      <c r="BR316" s="3">
        <v>45642</v>
      </c>
      <c r="BS316" t="s">
        <v>477</v>
      </c>
    </row>
    <row r="317" spans="1:71" x14ac:dyDescent="0.25">
      <c r="A317" t="s">
        <v>471</v>
      </c>
      <c r="B317" t="s">
        <v>478</v>
      </c>
      <c r="C317" s="2">
        <f>HYPERLINK("https://szao.dolgi.msk.ru/account/3470098827/", 3470098827)</f>
        <v>3470098827</v>
      </c>
      <c r="D317" t="s">
        <v>29</v>
      </c>
      <c r="E317">
        <v>128884.97</v>
      </c>
      <c r="AX317">
        <v>29.37</v>
      </c>
      <c r="AY317">
        <v>27.38</v>
      </c>
      <c r="AZ317" t="s">
        <v>45</v>
      </c>
      <c r="BA317" t="s">
        <v>36</v>
      </c>
      <c r="BB317">
        <v>128884.97</v>
      </c>
      <c r="BC317">
        <v>128884.97</v>
      </c>
      <c r="BD317">
        <v>128884.97</v>
      </c>
      <c r="BE317">
        <v>128884.97</v>
      </c>
      <c r="BF317">
        <v>124177.85</v>
      </c>
      <c r="BG317">
        <v>22894</v>
      </c>
      <c r="BH317">
        <v>19638.650000000001</v>
      </c>
      <c r="BI317">
        <v>24322.19</v>
      </c>
      <c r="BJ317">
        <v>8469.16</v>
      </c>
      <c r="BK317">
        <v>19560</v>
      </c>
      <c r="BL317">
        <v>28820.95</v>
      </c>
      <c r="BM317">
        <v>5180.0200000000004</v>
      </c>
      <c r="BP317" s="3">
        <v>45504</v>
      </c>
      <c r="BQ317">
        <v>35000</v>
      </c>
      <c r="BR317" s="3">
        <v>45429</v>
      </c>
      <c r="BS317" t="s">
        <v>479</v>
      </c>
    </row>
    <row r="318" spans="1:71" x14ac:dyDescent="0.25">
      <c r="A318" t="s">
        <v>480</v>
      </c>
      <c r="B318" t="s">
        <v>481</v>
      </c>
      <c r="C318" s="2">
        <f>HYPERLINK("https://szao.dolgi.msk.ru/account/3470100501/", 3470100501)</f>
        <v>3470100501</v>
      </c>
      <c r="D318" t="s">
        <v>29</v>
      </c>
      <c r="E318">
        <v>9756.2800000000007</v>
      </c>
      <c r="AX318">
        <v>3.48</v>
      </c>
      <c r="AY318">
        <v>2.09</v>
      </c>
      <c r="AZ318" t="s">
        <v>40</v>
      </c>
      <c r="BA318" t="s">
        <v>49</v>
      </c>
      <c r="BB318">
        <v>9756.2800000000007</v>
      </c>
      <c r="BC318">
        <v>9756.2800000000007</v>
      </c>
      <c r="BD318">
        <v>9756.2800000000007</v>
      </c>
      <c r="BE318">
        <v>9756.2800000000007</v>
      </c>
      <c r="BF318">
        <v>21091.5</v>
      </c>
      <c r="BG318">
        <v>4347.75</v>
      </c>
      <c r="BH318">
        <v>8.3000000000000007</v>
      </c>
      <c r="BI318">
        <v>1334.26</v>
      </c>
      <c r="BJ318">
        <v>544.78</v>
      </c>
      <c r="BK318">
        <v>852.71</v>
      </c>
      <c r="BL318">
        <v>1523.39</v>
      </c>
      <c r="BM318">
        <v>1145.0899999999999</v>
      </c>
      <c r="BN318">
        <v>11335.22</v>
      </c>
      <c r="BO318">
        <v>4660.53</v>
      </c>
      <c r="BP318" s="3">
        <v>45695</v>
      </c>
      <c r="BQ318">
        <v>4660.53</v>
      </c>
      <c r="BR318" s="3">
        <v>45636</v>
      </c>
      <c r="BS318" t="s">
        <v>482</v>
      </c>
    </row>
    <row r="319" spans="1:71" x14ac:dyDescent="0.25">
      <c r="A319" t="s">
        <v>480</v>
      </c>
      <c r="B319" t="s">
        <v>238</v>
      </c>
      <c r="C319" s="2">
        <f>HYPERLINK("https://szao.dolgi.msk.ru/account/3470101029/", 3470101029)</f>
        <v>3470101029</v>
      </c>
      <c r="D319" t="s">
        <v>29</v>
      </c>
      <c r="E319">
        <v>27459.67</v>
      </c>
      <c r="AX319">
        <v>2.57</v>
      </c>
      <c r="AY319">
        <v>2.6</v>
      </c>
      <c r="AZ319" t="s">
        <v>30</v>
      </c>
      <c r="BA319" t="s">
        <v>31</v>
      </c>
      <c r="BB319">
        <v>27459.67</v>
      </c>
      <c r="BC319">
        <v>27459.67</v>
      </c>
      <c r="BD319">
        <v>27459.67</v>
      </c>
      <c r="BE319">
        <v>27459.67</v>
      </c>
      <c r="BF319">
        <v>16911.45</v>
      </c>
      <c r="BG319">
        <v>2707.81</v>
      </c>
      <c r="BH319">
        <v>3732.42</v>
      </c>
      <c r="BI319">
        <v>9067.98</v>
      </c>
      <c r="BJ319">
        <v>2553.7600000000002</v>
      </c>
      <c r="BK319">
        <v>4826.0600000000004</v>
      </c>
      <c r="BL319">
        <v>3909.96</v>
      </c>
      <c r="BM319">
        <v>661.68</v>
      </c>
      <c r="BP319" s="3">
        <v>45617</v>
      </c>
      <c r="BQ319">
        <v>5670.51</v>
      </c>
    </row>
    <row r="320" spans="1:71" x14ac:dyDescent="0.25">
      <c r="A320" t="s">
        <v>480</v>
      </c>
      <c r="B320" t="s">
        <v>483</v>
      </c>
      <c r="C320" s="2">
        <f>HYPERLINK("https://szao.dolgi.msk.ru/account/3470101061/", 3470101061)</f>
        <v>3470101061</v>
      </c>
      <c r="D320" t="s">
        <v>29</v>
      </c>
      <c r="E320">
        <v>19864.939999999999</v>
      </c>
      <c r="AX320">
        <v>2</v>
      </c>
      <c r="AY320">
        <v>1.86</v>
      </c>
      <c r="AZ320" t="s">
        <v>69</v>
      </c>
      <c r="BA320" t="s">
        <v>31</v>
      </c>
      <c r="BB320">
        <v>19864.939999999999</v>
      </c>
      <c r="BC320">
        <v>19864.939999999999</v>
      </c>
      <c r="BD320">
        <v>19864.939999999999</v>
      </c>
      <c r="BE320">
        <v>19864.939999999999</v>
      </c>
      <c r="BF320">
        <v>9167.77</v>
      </c>
      <c r="BG320">
        <v>2484.3000000000002</v>
      </c>
      <c r="BH320">
        <v>2406.0500000000002</v>
      </c>
      <c r="BI320">
        <v>5865.61</v>
      </c>
      <c r="BJ320">
        <v>1651.9</v>
      </c>
      <c r="BK320">
        <v>3115.39</v>
      </c>
      <c r="BL320">
        <v>3713.3</v>
      </c>
      <c r="BM320">
        <v>628.39</v>
      </c>
      <c r="BP320" s="3">
        <v>45587</v>
      </c>
      <c r="BQ320">
        <v>55978.93</v>
      </c>
      <c r="BR320" s="3">
        <v>45594</v>
      </c>
      <c r="BS320" t="s">
        <v>484</v>
      </c>
    </row>
    <row r="321" spans="1:71" x14ac:dyDescent="0.25">
      <c r="A321" t="s">
        <v>480</v>
      </c>
      <c r="B321" t="s">
        <v>207</v>
      </c>
      <c r="C321" s="2">
        <f>HYPERLINK("https://szao.dolgi.msk.ru/account/3470101141/", 3470101141)</f>
        <v>3470101141</v>
      </c>
      <c r="D321" t="s">
        <v>29</v>
      </c>
      <c r="E321">
        <v>345536.79</v>
      </c>
      <c r="AX321">
        <v>19.62</v>
      </c>
      <c r="AY321">
        <v>18.510000000000002</v>
      </c>
      <c r="AZ321" t="s">
        <v>40</v>
      </c>
      <c r="BA321" t="s">
        <v>36</v>
      </c>
      <c r="BB321">
        <v>345536.79</v>
      </c>
      <c r="BC321">
        <v>345536.79</v>
      </c>
      <c r="BD321">
        <v>345536.79</v>
      </c>
      <c r="BE321">
        <v>345536.79</v>
      </c>
      <c r="BF321">
        <v>326873.07</v>
      </c>
      <c r="BG321">
        <v>17773.62</v>
      </c>
      <c r="BH321">
        <v>119586.62</v>
      </c>
      <c r="BI321">
        <v>41200.339999999997</v>
      </c>
      <c r="BJ321">
        <v>11638.49</v>
      </c>
      <c r="BK321">
        <v>97453.53</v>
      </c>
      <c r="BL321">
        <v>46458.12</v>
      </c>
      <c r="BM321">
        <v>11426.07</v>
      </c>
      <c r="BP321" s="3">
        <v>45623</v>
      </c>
      <c r="BQ321">
        <v>44776.46</v>
      </c>
      <c r="BR321" s="3">
        <v>45442</v>
      </c>
      <c r="BS321" t="s">
        <v>485</v>
      </c>
    </row>
    <row r="322" spans="1:71" x14ac:dyDescent="0.25">
      <c r="A322" t="s">
        <v>480</v>
      </c>
      <c r="B322" t="s">
        <v>92</v>
      </c>
      <c r="C322" s="2">
        <f>HYPERLINK("https://szao.dolgi.msk.ru/account/3470101205/", 3470101205)</f>
        <v>3470101205</v>
      </c>
      <c r="D322" t="s">
        <v>29</v>
      </c>
      <c r="E322">
        <v>165976</v>
      </c>
      <c r="AX322">
        <v>20.23</v>
      </c>
      <c r="AY322">
        <v>18.86</v>
      </c>
      <c r="AZ322" t="s">
        <v>40</v>
      </c>
      <c r="BA322" t="s">
        <v>36</v>
      </c>
      <c r="BB322">
        <v>165976</v>
      </c>
      <c r="BC322">
        <v>162862.12</v>
      </c>
      <c r="BD322">
        <v>165976</v>
      </c>
      <c r="BE322">
        <v>162862.12</v>
      </c>
      <c r="BF322">
        <v>157383.89000000001</v>
      </c>
      <c r="BG322">
        <v>19858.349999999999</v>
      </c>
      <c r="BH322">
        <v>17159.560000000001</v>
      </c>
      <c r="BI322">
        <v>46348.7</v>
      </c>
      <c r="BJ322">
        <v>13074.29</v>
      </c>
      <c r="BK322">
        <v>29676.65</v>
      </c>
      <c r="BL322">
        <v>33862.080000000002</v>
      </c>
      <c r="BM322">
        <v>5996.37</v>
      </c>
      <c r="BN322">
        <v>207.85</v>
      </c>
      <c r="BP322" s="3">
        <v>45696</v>
      </c>
      <c r="BQ322">
        <v>207.85</v>
      </c>
      <c r="BR322" s="3">
        <v>45636</v>
      </c>
      <c r="BS322" t="s">
        <v>486</v>
      </c>
    </row>
    <row r="323" spans="1:71" x14ac:dyDescent="0.25">
      <c r="A323" t="s">
        <v>487</v>
      </c>
      <c r="B323" t="s">
        <v>160</v>
      </c>
      <c r="C323" s="2">
        <f>HYPERLINK("https://szao.dolgi.msk.ru/account/3470079503/", 3470079503)</f>
        <v>3470079503</v>
      </c>
      <c r="D323" t="s">
        <v>29</v>
      </c>
      <c r="E323">
        <v>16535.25</v>
      </c>
      <c r="AX323">
        <v>18.440000000000001</v>
      </c>
      <c r="AY323">
        <v>4.3099999999999996</v>
      </c>
      <c r="AZ323" t="s">
        <v>488</v>
      </c>
      <c r="BA323" t="s">
        <v>36</v>
      </c>
      <c r="BB323">
        <v>16535.25</v>
      </c>
      <c r="BC323">
        <v>16535.25</v>
      </c>
      <c r="BD323">
        <v>26600.67</v>
      </c>
      <c r="BE323">
        <v>26600.67</v>
      </c>
      <c r="BF323">
        <v>12670.38</v>
      </c>
      <c r="BG323">
        <v>-3063.98</v>
      </c>
      <c r="BH323">
        <v>-3916.21</v>
      </c>
      <c r="BI323">
        <v>6960.86</v>
      </c>
      <c r="BJ323">
        <v>-3085.23</v>
      </c>
      <c r="BK323">
        <v>9990.1299999999992</v>
      </c>
      <c r="BL323">
        <v>3012.38</v>
      </c>
      <c r="BM323">
        <v>6637.3</v>
      </c>
      <c r="BN323">
        <v>125973.07</v>
      </c>
      <c r="BP323" s="3">
        <v>45688</v>
      </c>
      <c r="BQ323">
        <v>125973.07</v>
      </c>
      <c r="BR323" s="3">
        <v>45442</v>
      </c>
      <c r="BS323" t="s">
        <v>489</v>
      </c>
    </row>
    <row r="324" spans="1:71" x14ac:dyDescent="0.25">
      <c r="A324" t="s">
        <v>487</v>
      </c>
      <c r="B324" t="s">
        <v>87</v>
      </c>
      <c r="C324" s="2">
        <f>HYPERLINK("https://szao.dolgi.msk.ru/account/3470598602/", 3470598602)</f>
        <v>3470598602</v>
      </c>
      <c r="D324" t="s">
        <v>29</v>
      </c>
      <c r="E324">
        <v>35348.089999999997</v>
      </c>
      <c r="AX324">
        <v>6.58</v>
      </c>
      <c r="AY324">
        <v>6.63</v>
      </c>
      <c r="AZ324" t="s">
        <v>69</v>
      </c>
      <c r="BA324" t="s">
        <v>66</v>
      </c>
      <c r="BB324">
        <v>35348.089999999997</v>
      </c>
      <c r="BC324">
        <v>35348.089999999997</v>
      </c>
      <c r="BD324">
        <v>35348.089999999997</v>
      </c>
      <c r="BE324">
        <v>35348.089999999997</v>
      </c>
      <c r="BF324">
        <v>30015.46</v>
      </c>
      <c r="BG324">
        <v>6725.67</v>
      </c>
      <c r="BH324">
        <v>2841.46</v>
      </c>
      <c r="BI324">
        <v>6957.43</v>
      </c>
      <c r="BJ324">
        <v>1944.16</v>
      </c>
      <c r="BK324">
        <v>3684.23</v>
      </c>
      <c r="BL324">
        <v>11377.38</v>
      </c>
      <c r="BM324">
        <v>1817.76</v>
      </c>
      <c r="BP324" s="3">
        <v>45569</v>
      </c>
      <c r="BQ324">
        <v>18494.28</v>
      </c>
      <c r="BR324" s="3">
        <v>45503</v>
      </c>
      <c r="BS324" t="s">
        <v>490</v>
      </c>
    </row>
    <row r="325" spans="1:71" x14ac:dyDescent="0.25">
      <c r="A325" t="s">
        <v>487</v>
      </c>
      <c r="B325" t="s">
        <v>280</v>
      </c>
      <c r="C325" s="2">
        <f>HYPERLINK("https://szao.dolgi.msk.ru/account/3470080061/", 3470080061)</f>
        <v>3470080061</v>
      </c>
      <c r="D325" t="s">
        <v>29</v>
      </c>
      <c r="E325">
        <v>267433.36</v>
      </c>
      <c r="AX325">
        <v>23.6</v>
      </c>
      <c r="AY325">
        <v>23.52</v>
      </c>
      <c r="AZ325" t="s">
        <v>40</v>
      </c>
      <c r="BA325" t="s">
        <v>36</v>
      </c>
      <c r="BB325">
        <v>267433.36</v>
      </c>
      <c r="BC325">
        <v>267433.36</v>
      </c>
      <c r="BD325">
        <v>267433.36</v>
      </c>
      <c r="BE325">
        <v>267433.36</v>
      </c>
      <c r="BF325">
        <v>256062.3</v>
      </c>
      <c r="BG325">
        <v>25385.74</v>
      </c>
      <c r="BH325">
        <v>18388.93</v>
      </c>
      <c r="BI325">
        <v>72528.88</v>
      </c>
      <c r="BJ325">
        <v>20301.740000000002</v>
      </c>
      <c r="BK325">
        <v>32346.81</v>
      </c>
      <c r="BL325">
        <v>84119.01</v>
      </c>
      <c r="BM325">
        <v>14362.25</v>
      </c>
      <c r="BN325">
        <v>5633.84</v>
      </c>
      <c r="BP325" s="3">
        <v>45683</v>
      </c>
      <c r="BQ325">
        <v>5633.84</v>
      </c>
      <c r="BR325" s="3">
        <v>45442</v>
      </c>
      <c r="BS325" t="s">
        <v>491</v>
      </c>
    </row>
    <row r="326" spans="1:71" x14ac:dyDescent="0.25">
      <c r="A326" t="s">
        <v>487</v>
      </c>
      <c r="B326" t="s">
        <v>247</v>
      </c>
      <c r="C326" s="2">
        <f>HYPERLINK("https://szao.dolgi.msk.ru/account/3470080125/", 3470080125)</f>
        <v>3470080125</v>
      </c>
      <c r="D326" t="s">
        <v>29</v>
      </c>
      <c r="E326">
        <v>99909.43</v>
      </c>
      <c r="AX326">
        <v>27.88</v>
      </c>
      <c r="AY326">
        <v>24.77</v>
      </c>
      <c r="AZ326" t="s">
        <v>40</v>
      </c>
      <c r="BA326" t="s">
        <v>36</v>
      </c>
      <c r="BB326">
        <v>99909.43</v>
      </c>
      <c r="BC326">
        <v>99909.43</v>
      </c>
      <c r="BD326">
        <v>99909.43</v>
      </c>
      <c r="BE326">
        <v>99909.43</v>
      </c>
      <c r="BF326">
        <v>99909.43</v>
      </c>
      <c r="BG326">
        <v>2852.4</v>
      </c>
      <c r="BH326">
        <v>7814.72</v>
      </c>
      <c r="BI326">
        <v>21724.52</v>
      </c>
      <c r="BJ326">
        <v>7295.3</v>
      </c>
      <c r="BK326">
        <v>11190.68</v>
      </c>
      <c r="BL326">
        <v>41906.65</v>
      </c>
      <c r="BM326">
        <v>7125.16</v>
      </c>
      <c r="BO326">
        <v>4033.94</v>
      </c>
      <c r="BP326" s="3">
        <v>45691</v>
      </c>
      <c r="BQ326">
        <v>4033.94</v>
      </c>
      <c r="BR326" s="3">
        <v>45239</v>
      </c>
      <c r="BS326" t="s">
        <v>492</v>
      </c>
    </row>
    <row r="327" spans="1:71" x14ac:dyDescent="0.25">
      <c r="A327" t="s">
        <v>487</v>
      </c>
      <c r="B327" t="s">
        <v>359</v>
      </c>
      <c r="C327" s="2">
        <f>HYPERLINK("https://szao.dolgi.msk.ru/account/3470303229/", 3470303229)</f>
        <v>3470303229</v>
      </c>
      <c r="D327" t="s">
        <v>29</v>
      </c>
      <c r="E327">
        <v>22875.64</v>
      </c>
      <c r="AX327">
        <v>15.68</v>
      </c>
      <c r="AY327">
        <v>8.31</v>
      </c>
      <c r="AZ327" t="s">
        <v>69</v>
      </c>
      <c r="BA327" t="s">
        <v>36</v>
      </c>
      <c r="BB327">
        <v>22875.64</v>
      </c>
      <c r="BC327">
        <v>22875.64</v>
      </c>
      <c r="BD327">
        <v>42375.53</v>
      </c>
      <c r="BE327">
        <v>42375.53</v>
      </c>
      <c r="BF327">
        <v>20124.55</v>
      </c>
      <c r="BG327">
        <v>-2465.56</v>
      </c>
      <c r="BH327">
        <v>-8590.01</v>
      </c>
      <c r="BI327">
        <v>10723.41</v>
      </c>
      <c r="BJ327">
        <v>262.64</v>
      </c>
      <c r="BK327">
        <v>-8444.32</v>
      </c>
      <c r="BL327">
        <v>23862.48</v>
      </c>
      <c r="BM327">
        <v>7527</v>
      </c>
      <c r="BP327" s="3">
        <v>45596</v>
      </c>
      <c r="BQ327">
        <v>0</v>
      </c>
      <c r="BR327" s="3">
        <v>45121</v>
      </c>
      <c r="BS327" t="s">
        <v>493</v>
      </c>
    </row>
    <row r="328" spans="1:71" x14ac:dyDescent="0.25">
      <c r="A328" t="s">
        <v>487</v>
      </c>
      <c r="B328" t="s">
        <v>359</v>
      </c>
      <c r="C328" s="2">
        <f>HYPERLINK("https://szao.dolgi.msk.ru/account/3470616575/", 3470616575)</f>
        <v>3470616575</v>
      </c>
      <c r="D328" t="s">
        <v>29</v>
      </c>
      <c r="E328">
        <v>8662.09</v>
      </c>
      <c r="AX328">
        <v>3.7</v>
      </c>
      <c r="AY328">
        <v>3.72</v>
      </c>
      <c r="AZ328" t="s">
        <v>69</v>
      </c>
      <c r="BA328" t="s">
        <v>49</v>
      </c>
      <c r="BB328">
        <v>8662.09</v>
      </c>
      <c r="BC328">
        <v>8662.09</v>
      </c>
      <c r="BD328">
        <v>8662.09</v>
      </c>
      <c r="BE328">
        <v>8662.09</v>
      </c>
      <c r="BF328">
        <v>0</v>
      </c>
      <c r="BG328">
        <v>2985.45</v>
      </c>
      <c r="BH328">
        <v>0</v>
      </c>
      <c r="BI328">
        <v>0</v>
      </c>
      <c r="BJ328">
        <v>0</v>
      </c>
      <c r="BK328">
        <v>0</v>
      </c>
      <c r="BL328">
        <v>4894.6000000000004</v>
      </c>
      <c r="BM328">
        <v>782.04</v>
      </c>
    </row>
    <row r="329" spans="1:71" x14ac:dyDescent="0.25">
      <c r="A329" t="s">
        <v>494</v>
      </c>
      <c r="B329" t="s">
        <v>309</v>
      </c>
      <c r="C329" s="2">
        <f>HYPERLINK("https://szao.dolgi.msk.ru/account/3470080635/", 3470080635)</f>
        <v>3470080635</v>
      </c>
      <c r="D329" t="s">
        <v>29</v>
      </c>
      <c r="E329">
        <v>278663.89</v>
      </c>
      <c r="AX329">
        <v>34.119999999999997</v>
      </c>
      <c r="AY329">
        <v>27.86</v>
      </c>
      <c r="AZ329" t="s">
        <v>56</v>
      </c>
      <c r="BA329" t="s">
        <v>36</v>
      </c>
      <c r="BB329">
        <v>278663.89</v>
      </c>
      <c r="BC329">
        <v>278663.89</v>
      </c>
      <c r="BD329">
        <v>278663.89</v>
      </c>
      <c r="BE329">
        <v>278663.89</v>
      </c>
      <c r="BF329">
        <v>268661.90000000002</v>
      </c>
      <c r="BG329">
        <v>48879.86</v>
      </c>
      <c r="BH329">
        <v>29565.99</v>
      </c>
      <c r="BI329">
        <v>80758.62</v>
      </c>
      <c r="BJ329">
        <v>21558.1</v>
      </c>
      <c r="BK329">
        <v>21187</v>
      </c>
      <c r="BL329">
        <v>65618.63</v>
      </c>
      <c r="BM329">
        <v>11095.69</v>
      </c>
      <c r="BP329" s="3">
        <v>45596</v>
      </c>
      <c r="BQ329">
        <v>0</v>
      </c>
      <c r="BR329" s="3">
        <v>45355</v>
      </c>
      <c r="BS329" t="s">
        <v>495</v>
      </c>
    </row>
    <row r="330" spans="1:71" x14ac:dyDescent="0.25">
      <c r="A330" t="s">
        <v>494</v>
      </c>
      <c r="B330" t="s">
        <v>287</v>
      </c>
      <c r="C330" s="2">
        <f>HYPERLINK("https://szao.dolgi.msk.ru/account/3470080715/", 3470080715)</f>
        <v>3470080715</v>
      </c>
      <c r="D330" t="s">
        <v>29</v>
      </c>
      <c r="E330">
        <v>23131.68</v>
      </c>
      <c r="AX330">
        <v>4.34</v>
      </c>
      <c r="AY330">
        <v>4.6500000000000004</v>
      </c>
      <c r="AZ330" t="s">
        <v>35</v>
      </c>
      <c r="BA330" t="s">
        <v>49</v>
      </c>
      <c r="BB330">
        <v>23131.68</v>
      </c>
      <c r="BC330">
        <v>23131.68</v>
      </c>
      <c r="BD330">
        <v>23223.72</v>
      </c>
      <c r="BE330">
        <v>23223.72</v>
      </c>
      <c r="BF330">
        <v>18161.82</v>
      </c>
      <c r="BG330">
        <v>1760.18</v>
      </c>
      <c r="BH330">
        <v>877.45</v>
      </c>
      <c r="BI330">
        <v>14098.04</v>
      </c>
      <c r="BJ330">
        <v>2851.39</v>
      </c>
      <c r="BK330">
        <v>-92.04</v>
      </c>
      <c r="BL330">
        <v>2525.35</v>
      </c>
      <c r="BM330">
        <v>1111.31</v>
      </c>
      <c r="BN330">
        <v>4458</v>
      </c>
      <c r="BP330" s="3">
        <v>45678</v>
      </c>
      <c r="BQ330">
        <v>4458</v>
      </c>
      <c r="BR330" s="3">
        <v>45463</v>
      </c>
      <c r="BS330" t="s">
        <v>496</v>
      </c>
    </row>
    <row r="331" spans="1:71" x14ac:dyDescent="0.25">
      <c r="A331" t="s">
        <v>494</v>
      </c>
      <c r="B331" t="s">
        <v>397</v>
      </c>
      <c r="C331" s="2">
        <f>HYPERLINK("https://szao.dolgi.msk.ru/account/3470080897/", 3470080897)</f>
        <v>3470080897</v>
      </c>
      <c r="D331" t="s">
        <v>29</v>
      </c>
      <c r="E331">
        <v>21280.080000000002</v>
      </c>
      <c r="AX331">
        <v>3.78</v>
      </c>
      <c r="AY331">
        <v>3.82</v>
      </c>
      <c r="AZ331" t="s">
        <v>69</v>
      </c>
      <c r="BA331" t="s">
        <v>49</v>
      </c>
      <c r="BB331">
        <v>21280.080000000002</v>
      </c>
      <c r="BC331">
        <v>21280.080000000002</v>
      </c>
      <c r="BD331">
        <v>21280.080000000002</v>
      </c>
      <c r="BE331">
        <v>21280.080000000002</v>
      </c>
      <c r="BF331">
        <v>15706.82</v>
      </c>
      <c r="BG331">
        <v>4681.97</v>
      </c>
      <c r="BH331">
        <v>1658.66</v>
      </c>
      <c r="BI331">
        <v>4029.77</v>
      </c>
      <c r="BJ331">
        <v>1134.8800000000001</v>
      </c>
      <c r="BK331">
        <v>2144.69</v>
      </c>
      <c r="BL331">
        <v>6403.72</v>
      </c>
      <c r="BM331">
        <v>1226.3900000000001</v>
      </c>
      <c r="BP331" s="3">
        <v>45576</v>
      </c>
      <c r="BQ331">
        <v>5238.58</v>
      </c>
    </row>
    <row r="332" spans="1:71" x14ac:dyDescent="0.25">
      <c r="A332" t="s">
        <v>494</v>
      </c>
      <c r="B332" t="s">
        <v>241</v>
      </c>
      <c r="C332" s="2">
        <f>HYPERLINK("https://szao.dolgi.msk.ru/account/3470081291/", 3470081291)</f>
        <v>3470081291</v>
      </c>
      <c r="D332" t="s">
        <v>29</v>
      </c>
      <c r="E332">
        <v>133816.37</v>
      </c>
      <c r="AX332">
        <v>41.67</v>
      </c>
      <c r="AY332">
        <v>39.79</v>
      </c>
      <c r="AZ332" t="s">
        <v>56</v>
      </c>
      <c r="BA332" t="s">
        <v>36</v>
      </c>
      <c r="BB332">
        <v>133816.37</v>
      </c>
      <c r="BC332">
        <v>133816.37</v>
      </c>
      <c r="BD332">
        <v>133816.37</v>
      </c>
      <c r="BE332">
        <v>133816.37</v>
      </c>
      <c r="BF332">
        <v>130453.46</v>
      </c>
      <c r="BG332">
        <v>39386.019999999997</v>
      </c>
      <c r="BH332">
        <v>0.16</v>
      </c>
      <c r="BI332">
        <v>12819.57</v>
      </c>
      <c r="BJ332">
        <v>11119.85</v>
      </c>
      <c r="BK332">
        <v>3420.19</v>
      </c>
      <c r="BL332">
        <v>55908.3</v>
      </c>
      <c r="BM332">
        <v>11162.28</v>
      </c>
      <c r="BP332" s="3">
        <v>45596</v>
      </c>
      <c r="BQ332">
        <v>0</v>
      </c>
      <c r="BR332" s="3">
        <v>45323</v>
      </c>
      <c r="BS332" t="s">
        <v>497</v>
      </c>
    </row>
    <row r="333" spans="1:71" x14ac:dyDescent="0.25">
      <c r="A333" t="s">
        <v>498</v>
      </c>
      <c r="B333" t="s">
        <v>105</v>
      </c>
      <c r="C333" s="2">
        <f>HYPERLINK("https://szao.dolgi.msk.ru/account/3470081793/", 3470081793)</f>
        <v>3470081793</v>
      </c>
      <c r="D333" t="s">
        <v>29</v>
      </c>
      <c r="E333">
        <v>35009.07</v>
      </c>
      <c r="AX333">
        <v>6</v>
      </c>
      <c r="AY333">
        <v>5.83</v>
      </c>
      <c r="AZ333" t="s">
        <v>45</v>
      </c>
      <c r="BA333" t="s">
        <v>66</v>
      </c>
      <c r="BB333">
        <v>35009.07</v>
      </c>
      <c r="BC333">
        <v>35009.07</v>
      </c>
      <c r="BD333">
        <v>35009.07</v>
      </c>
      <c r="BE333">
        <v>35009.07</v>
      </c>
      <c r="BF333">
        <v>29003.77</v>
      </c>
      <c r="BG333">
        <v>13176.89</v>
      </c>
      <c r="BH333">
        <v>2889.85</v>
      </c>
      <c r="BI333">
        <v>0</v>
      </c>
      <c r="BJ333">
        <v>0</v>
      </c>
      <c r="BK333">
        <v>2225.4899999999998</v>
      </c>
      <c r="BL333">
        <v>13563.97</v>
      </c>
      <c r="BM333">
        <v>3152.87</v>
      </c>
      <c r="BP333" s="3">
        <v>45482</v>
      </c>
      <c r="BQ333">
        <v>4784.66</v>
      </c>
      <c r="BR333" s="3">
        <v>45068</v>
      </c>
      <c r="BS333" t="s">
        <v>499</v>
      </c>
    </row>
    <row r="334" spans="1:71" x14ac:dyDescent="0.25">
      <c r="A334" t="s">
        <v>498</v>
      </c>
      <c r="B334" t="s">
        <v>225</v>
      </c>
      <c r="C334" s="2">
        <f>HYPERLINK("https://szao.dolgi.msk.ru/account/3470081902/", 3470081902)</f>
        <v>3470081902</v>
      </c>
      <c r="D334" t="s">
        <v>29</v>
      </c>
      <c r="E334">
        <v>150599.75</v>
      </c>
      <c r="AX334">
        <v>39.340000000000003</v>
      </c>
      <c r="AY334">
        <v>33.119999999999997</v>
      </c>
      <c r="AZ334" t="s">
        <v>56</v>
      </c>
      <c r="BA334" t="s">
        <v>36</v>
      </c>
      <c r="BB334">
        <v>150599.75</v>
      </c>
      <c r="BC334">
        <v>150599.75</v>
      </c>
      <c r="BD334">
        <v>150599.75</v>
      </c>
      <c r="BE334">
        <v>150599.75</v>
      </c>
      <c r="BF334">
        <v>146053.14000000001</v>
      </c>
      <c r="BG334">
        <v>56457.599999999999</v>
      </c>
      <c r="BH334">
        <v>21620.86</v>
      </c>
      <c r="BI334">
        <v>0</v>
      </c>
      <c r="BJ334">
        <v>0</v>
      </c>
      <c r="BK334">
        <v>16578.79</v>
      </c>
      <c r="BL334">
        <v>48369.87</v>
      </c>
      <c r="BM334">
        <v>7572.63</v>
      </c>
      <c r="BP334" s="3">
        <v>45596</v>
      </c>
      <c r="BQ334">
        <v>0</v>
      </c>
      <c r="BR334" s="3">
        <v>45429</v>
      </c>
      <c r="BS334" t="s">
        <v>500</v>
      </c>
    </row>
    <row r="335" spans="1:71" x14ac:dyDescent="0.25">
      <c r="A335" t="s">
        <v>501</v>
      </c>
      <c r="B335" t="s">
        <v>502</v>
      </c>
      <c r="C335" s="2">
        <f>HYPERLINK("https://szao.dolgi.msk.ru/account/3470082761/", 3470082761)</f>
        <v>3470082761</v>
      </c>
      <c r="D335" t="s">
        <v>29</v>
      </c>
      <c r="E335">
        <v>59647.81</v>
      </c>
      <c r="AX335">
        <v>5.7</v>
      </c>
      <c r="AY335">
        <v>5.64</v>
      </c>
      <c r="AZ335" t="s">
        <v>45</v>
      </c>
      <c r="BA335" t="s">
        <v>49</v>
      </c>
      <c r="BB335">
        <v>59647.81</v>
      </c>
      <c r="BC335">
        <v>59647.81</v>
      </c>
      <c r="BD335">
        <v>59647.81</v>
      </c>
      <c r="BE335">
        <v>59647.81</v>
      </c>
      <c r="BF335">
        <v>56282.6</v>
      </c>
      <c r="BG335">
        <v>9681.49</v>
      </c>
      <c r="BH335">
        <v>6844.49</v>
      </c>
      <c r="BI335">
        <v>16557.29</v>
      </c>
      <c r="BJ335">
        <v>4683.0600000000004</v>
      </c>
      <c r="BK335">
        <v>8880.5300000000007</v>
      </c>
      <c r="BL335">
        <v>10310.52</v>
      </c>
      <c r="BM335">
        <v>2690.43</v>
      </c>
      <c r="BO335">
        <v>7218.94</v>
      </c>
      <c r="BP335" s="3">
        <v>45694</v>
      </c>
      <c r="BQ335">
        <v>5657.04</v>
      </c>
    </row>
    <row r="336" spans="1:71" x14ac:dyDescent="0.25">
      <c r="A336" t="s">
        <v>501</v>
      </c>
      <c r="B336" t="s">
        <v>413</v>
      </c>
      <c r="C336" s="2">
        <f>HYPERLINK("https://szao.dolgi.msk.ru/account/3470082876/", 3470082876)</f>
        <v>3470082876</v>
      </c>
      <c r="D336" t="s">
        <v>29</v>
      </c>
      <c r="E336">
        <v>21775.94</v>
      </c>
      <c r="AX336">
        <v>2.0699999999999998</v>
      </c>
      <c r="AY336">
        <v>1.97</v>
      </c>
      <c r="AZ336" t="s">
        <v>30</v>
      </c>
      <c r="BA336" t="s">
        <v>31</v>
      </c>
      <c r="BB336">
        <v>21775.94</v>
      </c>
      <c r="BC336">
        <v>21775.94</v>
      </c>
      <c r="BD336">
        <v>21775.94</v>
      </c>
      <c r="BE336">
        <v>21775.94</v>
      </c>
      <c r="BF336">
        <v>10701.92</v>
      </c>
      <c r="BG336">
        <v>2771.86</v>
      </c>
      <c r="BH336">
        <v>2902.98</v>
      </c>
      <c r="BI336">
        <v>7052.86</v>
      </c>
      <c r="BJ336">
        <v>1986.24</v>
      </c>
      <c r="BK336">
        <v>3753.62</v>
      </c>
      <c r="BL336">
        <v>2631.04</v>
      </c>
      <c r="BM336">
        <v>677.34</v>
      </c>
      <c r="BP336" s="3">
        <v>45643</v>
      </c>
      <c r="BQ336">
        <v>9591</v>
      </c>
      <c r="BR336" s="3">
        <v>44776</v>
      </c>
      <c r="BS336" t="s">
        <v>503</v>
      </c>
    </row>
    <row r="337" spans="1:71" x14ac:dyDescent="0.25">
      <c r="A337" t="s">
        <v>501</v>
      </c>
      <c r="B337" t="s">
        <v>106</v>
      </c>
      <c r="C337" s="2">
        <f>HYPERLINK("https://szao.dolgi.msk.ru/account/3470082905/", 3470082905)</f>
        <v>3470082905</v>
      </c>
      <c r="D337" t="s">
        <v>29</v>
      </c>
      <c r="E337">
        <v>232391.04000000001</v>
      </c>
      <c r="AX337">
        <v>27.82</v>
      </c>
      <c r="AY337">
        <v>23.46</v>
      </c>
      <c r="AZ337" t="s">
        <v>40</v>
      </c>
      <c r="BA337" t="s">
        <v>36</v>
      </c>
      <c r="BB337">
        <v>232391.04000000001</v>
      </c>
      <c r="BC337">
        <v>232391.04000000001</v>
      </c>
      <c r="BD337">
        <v>232391.04000000001</v>
      </c>
      <c r="BE337">
        <v>232391.04000000001</v>
      </c>
      <c r="BF337">
        <v>222484.72</v>
      </c>
      <c r="BG337">
        <v>28674.6</v>
      </c>
      <c r="BH337">
        <v>33129.129999999997</v>
      </c>
      <c r="BI337">
        <v>64701.21</v>
      </c>
      <c r="BJ337">
        <v>27293.41</v>
      </c>
      <c r="BK337">
        <v>29269.15</v>
      </c>
      <c r="BL337">
        <v>40457</v>
      </c>
      <c r="BM337">
        <v>8866.5400000000009</v>
      </c>
      <c r="BN337">
        <v>0</v>
      </c>
      <c r="BP337" s="3">
        <v>45693</v>
      </c>
      <c r="BQ337">
        <v>0</v>
      </c>
      <c r="BR337" s="3">
        <v>45619</v>
      </c>
      <c r="BS337" t="s">
        <v>504</v>
      </c>
    </row>
    <row r="338" spans="1:71" x14ac:dyDescent="0.25">
      <c r="A338" t="s">
        <v>501</v>
      </c>
      <c r="B338" t="s">
        <v>282</v>
      </c>
      <c r="C338" s="2">
        <f>HYPERLINK("https://szao.dolgi.msk.ru/account/3470083131/", 3470083131)</f>
        <v>3470083131</v>
      </c>
      <c r="D338" t="s">
        <v>29</v>
      </c>
      <c r="E338">
        <v>19803.04</v>
      </c>
      <c r="AX338">
        <v>4.83</v>
      </c>
      <c r="AY338">
        <v>3.67</v>
      </c>
      <c r="AZ338" t="s">
        <v>30</v>
      </c>
      <c r="BA338" t="s">
        <v>49</v>
      </c>
      <c r="BB338">
        <v>19803.04</v>
      </c>
      <c r="BC338">
        <v>19803.04</v>
      </c>
      <c r="BD338">
        <v>19803.04</v>
      </c>
      <c r="BE338">
        <v>19803.04</v>
      </c>
      <c r="BF338">
        <v>16735.46</v>
      </c>
      <c r="BG338">
        <v>5703.58</v>
      </c>
      <c r="BH338">
        <v>1979.85</v>
      </c>
      <c r="BI338">
        <v>3627.32</v>
      </c>
      <c r="BJ338">
        <v>1080.24</v>
      </c>
      <c r="BK338">
        <v>1834.61</v>
      </c>
      <c r="BL338">
        <v>4265.3500000000004</v>
      </c>
      <c r="BM338">
        <v>1312.09</v>
      </c>
      <c r="BN338">
        <v>19408.599999999999</v>
      </c>
      <c r="BP338" s="3">
        <v>45696</v>
      </c>
      <c r="BQ338">
        <v>2328.19</v>
      </c>
      <c r="BR338" s="3">
        <v>45621</v>
      </c>
      <c r="BS338" t="s">
        <v>505</v>
      </c>
    </row>
    <row r="339" spans="1:71" x14ac:dyDescent="0.25">
      <c r="A339" t="s">
        <v>501</v>
      </c>
      <c r="B339" t="s">
        <v>131</v>
      </c>
      <c r="C339" s="2">
        <f>HYPERLINK("https://szao.dolgi.msk.ru/account/3470083342/", 3470083342)</f>
        <v>3470083342</v>
      </c>
      <c r="D339" t="s">
        <v>29</v>
      </c>
      <c r="E339">
        <v>34170.1</v>
      </c>
      <c r="AX339">
        <v>8.6300000000000008</v>
      </c>
      <c r="AY339">
        <v>8.34</v>
      </c>
      <c r="AZ339" t="s">
        <v>69</v>
      </c>
      <c r="BA339" t="s">
        <v>66</v>
      </c>
      <c r="BB339">
        <v>34170.1</v>
      </c>
      <c r="BC339">
        <v>34170.1</v>
      </c>
      <c r="BD339">
        <v>34170.1</v>
      </c>
      <c r="BE339">
        <v>34170.1</v>
      </c>
      <c r="BF339">
        <v>30276.720000000001</v>
      </c>
      <c r="BG339">
        <v>10985.47</v>
      </c>
      <c r="BH339">
        <v>3372.59</v>
      </c>
      <c r="BI339">
        <v>3324.36</v>
      </c>
      <c r="BJ339">
        <v>896.16</v>
      </c>
      <c r="BK339">
        <v>3309.77</v>
      </c>
      <c r="BL339">
        <v>9289.8799999999992</v>
      </c>
      <c r="BM339">
        <v>2991.87</v>
      </c>
      <c r="BP339" s="3">
        <v>45532</v>
      </c>
      <c r="BQ339">
        <v>3505.56</v>
      </c>
    </row>
    <row r="340" spans="1:71" x14ac:dyDescent="0.25">
      <c r="A340" t="s">
        <v>501</v>
      </c>
      <c r="B340" t="s">
        <v>191</v>
      </c>
      <c r="C340" s="2">
        <f>HYPERLINK("https://szao.dolgi.msk.ru/account/3470083481/", 3470083481)</f>
        <v>3470083481</v>
      </c>
      <c r="D340" t="s">
        <v>29</v>
      </c>
      <c r="E340">
        <v>0</v>
      </c>
      <c r="AX340">
        <v>3.48</v>
      </c>
      <c r="AZ340" t="s">
        <v>40</v>
      </c>
      <c r="BA340" t="s">
        <v>49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O340">
        <v>2899.32</v>
      </c>
      <c r="BP340" s="3">
        <v>45692</v>
      </c>
      <c r="BQ340">
        <v>2899.32</v>
      </c>
    </row>
    <row r="341" spans="1:71" x14ac:dyDescent="0.25">
      <c r="A341" t="s">
        <v>506</v>
      </c>
      <c r="B341" t="s">
        <v>413</v>
      </c>
      <c r="C341" s="2">
        <f>HYPERLINK("https://szao.dolgi.msk.ru/account/3470425621/", 3470425621)</f>
        <v>3470425621</v>
      </c>
      <c r="D341" t="s">
        <v>29</v>
      </c>
      <c r="E341">
        <v>10112.16</v>
      </c>
      <c r="AX341">
        <v>2.8</v>
      </c>
      <c r="AY341">
        <v>2.8</v>
      </c>
      <c r="AZ341" t="s">
        <v>40</v>
      </c>
      <c r="BA341" t="s">
        <v>31</v>
      </c>
      <c r="BB341">
        <v>10112.16</v>
      </c>
      <c r="BC341">
        <v>10112.16</v>
      </c>
      <c r="BD341">
        <v>10112.16</v>
      </c>
      <c r="BE341">
        <v>10112.16</v>
      </c>
      <c r="BF341">
        <v>6507.05</v>
      </c>
      <c r="BG341">
        <v>4474.1000000000004</v>
      </c>
      <c r="BH341">
        <v>7.77</v>
      </c>
      <c r="BI341">
        <v>80.69</v>
      </c>
      <c r="BJ341">
        <v>22.72</v>
      </c>
      <c r="BK341">
        <v>23.41</v>
      </c>
      <c r="BL341">
        <v>4656.18</v>
      </c>
      <c r="BM341">
        <v>847.29</v>
      </c>
      <c r="BP341" s="3">
        <v>45631</v>
      </c>
      <c r="BQ341">
        <v>5816.5</v>
      </c>
    </row>
    <row r="342" spans="1:71" x14ac:dyDescent="0.25">
      <c r="A342" t="s">
        <v>506</v>
      </c>
      <c r="B342" t="s">
        <v>85</v>
      </c>
      <c r="C342" s="2">
        <f>HYPERLINK("https://szao.dolgi.msk.ru/account/3470418464/", 3470418464)</f>
        <v>3470418464</v>
      </c>
      <c r="D342" t="s">
        <v>29</v>
      </c>
      <c r="E342">
        <v>53604.4</v>
      </c>
      <c r="AX342">
        <v>3.86</v>
      </c>
      <c r="AY342">
        <v>3.89</v>
      </c>
      <c r="AZ342" t="s">
        <v>40</v>
      </c>
      <c r="BA342" t="s">
        <v>49</v>
      </c>
      <c r="BB342">
        <v>53604.4</v>
      </c>
      <c r="BC342">
        <v>53604.4</v>
      </c>
      <c r="BD342">
        <v>53604.4</v>
      </c>
      <c r="BE342">
        <v>53604.4</v>
      </c>
      <c r="BF342">
        <v>39824.68</v>
      </c>
      <c r="BG342">
        <v>4887.32</v>
      </c>
      <c r="BH342">
        <v>3317.72</v>
      </c>
      <c r="BI342">
        <v>24181.279999999999</v>
      </c>
      <c r="BJ342">
        <v>6810.04</v>
      </c>
      <c r="BK342">
        <v>7775.32</v>
      </c>
      <c r="BL342">
        <v>5611.6</v>
      </c>
      <c r="BM342">
        <v>1021.12</v>
      </c>
      <c r="BO342">
        <v>13779.72</v>
      </c>
      <c r="BP342" s="3">
        <v>45674</v>
      </c>
      <c r="BQ342">
        <v>13779.72</v>
      </c>
    </row>
    <row r="343" spans="1:71" x14ac:dyDescent="0.25">
      <c r="A343" t="s">
        <v>506</v>
      </c>
      <c r="B343" t="s">
        <v>344</v>
      </c>
      <c r="C343" s="2">
        <f>HYPERLINK("https://szao.dolgi.msk.ru/account/3470419459/", 3470419459)</f>
        <v>3470419459</v>
      </c>
      <c r="D343" t="s">
        <v>29</v>
      </c>
      <c r="E343">
        <v>123127.62</v>
      </c>
      <c r="AX343">
        <v>10.210000000000001</v>
      </c>
      <c r="AY343">
        <v>8.3800000000000008</v>
      </c>
      <c r="AZ343" t="s">
        <v>40</v>
      </c>
      <c r="BA343" t="s">
        <v>63</v>
      </c>
      <c r="BB343">
        <v>123127.62</v>
      </c>
      <c r="BC343">
        <v>123127.62</v>
      </c>
      <c r="BD343">
        <v>124521.06</v>
      </c>
      <c r="BE343">
        <v>124521.06</v>
      </c>
      <c r="BF343">
        <v>128644.77</v>
      </c>
      <c r="BG343">
        <v>21315.78</v>
      </c>
      <c r="BH343">
        <v>-1393.44</v>
      </c>
      <c r="BI343">
        <v>59743.040000000001</v>
      </c>
      <c r="BJ343">
        <v>15714.05</v>
      </c>
      <c r="BK343">
        <v>14015.65</v>
      </c>
      <c r="BL343">
        <v>10023.34</v>
      </c>
      <c r="BM343">
        <v>3709.2</v>
      </c>
      <c r="BN343">
        <v>23385.47</v>
      </c>
      <c r="BP343" s="3">
        <v>45693</v>
      </c>
      <c r="BQ343">
        <v>10102.59</v>
      </c>
      <c r="BR343" s="3">
        <v>45513</v>
      </c>
      <c r="BS343" t="s">
        <v>507</v>
      </c>
    </row>
    <row r="344" spans="1:71" x14ac:dyDescent="0.25">
      <c r="A344" t="s">
        <v>506</v>
      </c>
      <c r="B344" t="s">
        <v>207</v>
      </c>
      <c r="C344" s="2">
        <f>HYPERLINK("https://szao.dolgi.msk.ru/account/3470616516/", 3470616516)</f>
        <v>3470616516</v>
      </c>
      <c r="D344" t="s">
        <v>29</v>
      </c>
      <c r="E344">
        <v>17251.400000000001</v>
      </c>
      <c r="AX344">
        <v>2.4500000000000002</v>
      </c>
      <c r="AY344">
        <v>2.39</v>
      </c>
      <c r="AZ344" t="s">
        <v>69</v>
      </c>
      <c r="BA344" t="s">
        <v>31</v>
      </c>
      <c r="BB344">
        <v>17251.400000000001</v>
      </c>
      <c r="BC344">
        <v>17251.400000000001</v>
      </c>
      <c r="BD344">
        <v>17251.400000000001</v>
      </c>
      <c r="BE344">
        <v>17251.400000000001</v>
      </c>
      <c r="BF344">
        <v>0</v>
      </c>
      <c r="BG344">
        <v>4450.84</v>
      </c>
      <c r="BH344">
        <v>1390.35</v>
      </c>
      <c r="BI344">
        <v>3249.98</v>
      </c>
      <c r="BJ344">
        <v>915.27</v>
      </c>
      <c r="BK344">
        <v>1770.08</v>
      </c>
      <c r="BL344">
        <v>4632</v>
      </c>
      <c r="BM344">
        <v>842.88</v>
      </c>
    </row>
    <row r="345" spans="1:71" x14ac:dyDescent="0.25">
      <c r="A345" t="s">
        <v>506</v>
      </c>
      <c r="B345" t="s">
        <v>124</v>
      </c>
      <c r="C345" s="2">
        <f>HYPERLINK("https://szao.dolgi.msk.ru/account/3470425269/", 3470425269)</f>
        <v>3470425269</v>
      </c>
      <c r="D345" t="s">
        <v>29</v>
      </c>
      <c r="E345">
        <v>16117.25</v>
      </c>
      <c r="AX345">
        <v>4.8099999999999996</v>
      </c>
      <c r="AY345">
        <v>4.47</v>
      </c>
      <c r="AZ345" t="s">
        <v>40</v>
      </c>
      <c r="BA345" t="s">
        <v>49</v>
      </c>
      <c r="BB345">
        <v>16117.25</v>
      </c>
      <c r="BC345">
        <v>16117.25</v>
      </c>
      <c r="BD345">
        <v>16130.03</v>
      </c>
      <c r="BE345">
        <v>16130.03</v>
      </c>
      <c r="BF345">
        <v>12512.14</v>
      </c>
      <c r="BG345">
        <v>8310.25</v>
      </c>
      <c r="BH345">
        <v>79.31</v>
      </c>
      <c r="BI345">
        <v>-10.1</v>
      </c>
      <c r="BJ345">
        <v>-2.68</v>
      </c>
      <c r="BK345">
        <v>23.77</v>
      </c>
      <c r="BL345">
        <v>7404.71</v>
      </c>
      <c r="BM345">
        <v>311.99</v>
      </c>
      <c r="BN345">
        <v>3186.23</v>
      </c>
      <c r="BP345" s="3">
        <v>45688</v>
      </c>
      <c r="BQ345">
        <v>3186.23</v>
      </c>
      <c r="BR345" s="3">
        <v>44641</v>
      </c>
      <c r="BS345" t="s">
        <v>508</v>
      </c>
    </row>
    <row r="346" spans="1:71" x14ac:dyDescent="0.25">
      <c r="A346" t="s">
        <v>506</v>
      </c>
      <c r="B346" t="s">
        <v>190</v>
      </c>
      <c r="C346" s="2">
        <f>HYPERLINK("https://szao.dolgi.msk.ru/account/3470425226/", 3470425226)</f>
        <v>3470425226</v>
      </c>
      <c r="D346" t="s">
        <v>29</v>
      </c>
      <c r="E346">
        <v>16600.61</v>
      </c>
      <c r="AX346">
        <v>2.84</v>
      </c>
      <c r="AY346">
        <v>2.86</v>
      </c>
      <c r="AZ346" t="s">
        <v>30</v>
      </c>
      <c r="BA346" t="s">
        <v>31</v>
      </c>
      <c r="BB346">
        <v>16600.61</v>
      </c>
      <c r="BC346">
        <v>16600.61</v>
      </c>
      <c r="BD346">
        <v>16600.61</v>
      </c>
      <c r="BE346">
        <v>16600.61</v>
      </c>
      <c r="BF346">
        <v>10790.72</v>
      </c>
      <c r="BG346">
        <v>4427.6000000000004</v>
      </c>
      <c r="BH346">
        <v>1244.1300000000001</v>
      </c>
      <c r="BI346">
        <v>3022.65</v>
      </c>
      <c r="BJ346">
        <v>851.25</v>
      </c>
      <c r="BK346">
        <v>1608.69</v>
      </c>
      <c r="BL346">
        <v>4607.82</v>
      </c>
      <c r="BM346">
        <v>838.47</v>
      </c>
      <c r="BP346" s="3">
        <v>45667</v>
      </c>
      <c r="BQ346">
        <v>10790.72</v>
      </c>
    </row>
    <row r="347" spans="1:71" x14ac:dyDescent="0.25">
      <c r="A347" t="s">
        <v>509</v>
      </c>
      <c r="B347" t="s">
        <v>376</v>
      </c>
      <c r="C347" s="2">
        <f>HYPERLINK("https://szao.dolgi.msk.ru/account/3470103489/", 3470103489)</f>
        <v>3470103489</v>
      </c>
      <c r="D347" t="s">
        <v>29</v>
      </c>
      <c r="E347">
        <v>12112.79</v>
      </c>
      <c r="AX347">
        <v>2.61</v>
      </c>
      <c r="AY347">
        <v>2.59</v>
      </c>
      <c r="AZ347" t="s">
        <v>30</v>
      </c>
      <c r="BA347" t="s">
        <v>31</v>
      </c>
      <c r="BB347">
        <v>12112.79</v>
      </c>
      <c r="BC347">
        <v>12112.79</v>
      </c>
      <c r="BD347">
        <v>12112.79</v>
      </c>
      <c r="BE347">
        <v>12112.79</v>
      </c>
      <c r="BF347">
        <v>7684.24</v>
      </c>
      <c r="BG347">
        <v>6263.72</v>
      </c>
      <c r="BH347">
        <v>884.46</v>
      </c>
      <c r="BI347">
        <v>0</v>
      </c>
      <c r="BJ347">
        <v>0</v>
      </c>
      <c r="BK347">
        <v>678.99</v>
      </c>
      <c r="BL347">
        <v>3462.54</v>
      </c>
      <c r="BM347">
        <v>823.08</v>
      </c>
      <c r="BP347" s="3">
        <v>45615</v>
      </c>
      <c r="BQ347">
        <v>13586.58</v>
      </c>
    </row>
    <row r="348" spans="1:71" x14ac:dyDescent="0.25">
      <c r="A348" t="s">
        <v>509</v>
      </c>
      <c r="B348" t="s">
        <v>359</v>
      </c>
      <c r="C348" s="2">
        <f>HYPERLINK("https://szao.dolgi.msk.ru/account/3470103593/", 3470103593)</f>
        <v>3470103593</v>
      </c>
      <c r="D348" t="s">
        <v>29</v>
      </c>
      <c r="E348">
        <v>92286.82</v>
      </c>
      <c r="AX348">
        <v>11.61</v>
      </c>
      <c r="AY348">
        <v>11.58</v>
      </c>
      <c r="AZ348" t="s">
        <v>56</v>
      </c>
      <c r="BA348" t="s">
        <v>63</v>
      </c>
      <c r="BB348">
        <v>92286.82</v>
      </c>
      <c r="BC348">
        <v>92286.82</v>
      </c>
      <c r="BD348">
        <v>92306.35</v>
      </c>
      <c r="BE348">
        <v>92306.35</v>
      </c>
      <c r="BF348">
        <v>84328.13</v>
      </c>
      <c r="BG348">
        <v>24954.31</v>
      </c>
      <c r="BH348">
        <v>21114.29</v>
      </c>
      <c r="BI348">
        <v>0</v>
      </c>
      <c r="BJ348">
        <v>-19.53</v>
      </c>
      <c r="BK348">
        <v>16390.07</v>
      </c>
      <c r="BL348">
        <v>24768.15</v>
      </c>
      <c r="BM348">
        <v>5079.53</v>
      </c>
      <c r="BP348" s="3">
        <v>45302</v>
      </c>
      <c r="BQ348">
        <v>6567.74</v>
      </c>
      <c r="BR348" s="3">
        <v>45666</v>
      </c>
      <c r="BS348" t="s">
        <v>510</v>
      </c>
    </row>
    <row r="349" spans="1:71" x14ac:dyDescent="0.25">
      <c r="A349" t="s">
        <v>509</v>
      </c>
      <c r="B349" t="s">
        <v>335</v>
      </c>
      <c r="C349" s="2">
        <f>HYPERLINK("https://szao.dolgi.msk.ru/account/3470539274/", 3470539274)</f>
        <v>3470539274</v>
      </c>
      <c r="D349" t="s">
        <v>29</v>
      </c>
      <c r="E349">
        <v>36895.949999999997</v>
      </c>
      <c r="AX349">
        <v>7.3</v>
      </c>
      <c r="AY349">
        <v>7.19</v>
      </c>
      <c r="AZ349" t="s">
        <v>45</v>
      </c>
      <c r="BA349" t="s">
        <v>66</v>
      </c>
      <c r="BB349">
        <v>36895.949999999997</v>
      </c>
      <c r="BC349">
        <v>36895.949999999997</v>
      </c>
      <c r="BD349">
        <v>36895.949999999997</v>
      </c>
      <c r="BE349">
        <v>36895.949999999997</v>
      </c>
      <c r="BF349">
        <v>31765.87</v>
      </c>
      <c r="BG349">
        <v>12901.75</v>
      </c>
      <c r="BH349">
        <v>4542.12</v>
      </c>
      <c r="BI349">
        <v>0</v>
      </c>
      <c r="BJ349">
        <v>0</v>
      </c>
      <c r="BK349">
        <v>3504.22</v>
      </c>
      <c r="BL349">
        <v>13302.96</v>
      </c>
      <c r="BM349">
        <v>2644.9</v>
      </c>
      <c r="BP349" s="3">
        <v>45482</v>
      </c>
      <c r="BQ349">
        <v>12226.68</v>
      </c>
      <c r="BR349" s="3">
        <v>45090</v>
      </c>
      <c r="BS349" t="s">
        <v>511</v>
      </c>
    </row>
    <row r="350" spans="1:71" x14ac:dyDescent="0.25">
      <c r="A350" t="s">
        <v>509</v>
      </c>
      <c r="B350" t="s">
        <v>238</v>
      </c>
      <c r="C350" s="2">
        <f>HYPERLINK("https://szao.dolgi.msk.ru/account/3470103657/", 3470103657)</f>
        <v>3470103657</v>
      </c>
      <c r="D350" t="s">
        <v>29</v>
      </c>
      <c r="E350">
        <v>234092.84</v>
      </c>
      <c r="AX350">
        <v>31.55</v>
      </c>
      <c r="AY350">
        <v>31.26</v>
      </c>
      <c r="AZ350" t="s">
        <v>56</v>
      </c>
      <c r="BA350" t="s">
        <v>36</v>
      </c>
      <c r="BB350">
        <v>234092.84</v>
      </c>
      <c r="BC350">
        <v>234092.84</v>
      </c>
      <c r="BD350">
        <v>234092.84</v>
      </c>
      <c r="BE350">
        <v>234092.84</v>
      </c>
      <c r="BF350">
        <v>226629.11</v>
      </c>
      <c r="BG350">
        <v>114955.07</v>
      </c>
      <c r="BH350">
        <v>30043.78</v>
      </c>
      <c r="BI350">
        <v>0</v>
      </c>
      <c r="BJ350">
        <v>0</v>
      </c>
      <c r="BK350">
        <v>22929.79</v>
      </c>
      <c r="BL350">
        <v>55121.41</v>
      </c>
      <c r="BM350">
        <v>11042.79</v>
      </c>
      <c r="BP350" s="3">
        <v>45518</v>
      </c>
      <c r="BQ350">
        <v>0</v>
      </c>
      <c r="BR350" s="3">
        <v>45580</v>
      </c>
      <c r="BS350" t="s">
        <v>512</v>
      </c>
    </row>
    <row r="351" spans="1:71" x14ac:dyDescent="0.25">
      <c r="A351" t="s">
        <v>509</v>
      </c>
      <c r="B351" t="s">
        <v>354</v>
      </c>
      <c r="C351" s="2">
        <f>HYPERLINK("https://szao.dolgi.msk.ru/account/3470103665/", 3470103665)</f>
        <v>3470103665</v>
      </c>
      <c r="D351" t="s">
        <v>29</v>
      </c>
      <c r="E351">
        <v>60590.05</v>
      </c>
      <c r="AX351">
        <v>8.15</v>
      </c>
      <c r="AY351">
        <v>8.2100000000000009</v>
      </c>
      <c r="AZ351" t="s">
        <v>45</v>
      </c>
      <c r="BA351" t="s">
        <v>66</v>
      </c>
      <c r="BB351">
        <v>60590.05</v>
      </c>
      <c r="BC351">
        <v>60590.05</v>
      </c>
      <c r="BD351">
        <v>60590.05</v>
      </c>
      <c r="BE351">
        <v>60590.05</v>
      </c>
      <c r="BF351">
        <v>53220.51</v>
      </c>
      <c r="BG351">
        <v>15330.21</v>
      </c>
      <c r="BH351">
        <v>15088.25</v>
      </c>
      <c r="BI351">
        <v>0</v>
      </c>
      <c r="BJ351">
        <v>0</v>
      </c>
      <c r="BK351">
        <v>11660.83</v>
      </c>
      <c r="BL351">
        <v>15418.11</v>
      </c>
      <c r="BM351">
        <v>3092.65</v>
      </c>
      <c r="BP351" s="3">
        <v>45447</v>
      </c>
      <c r="BQ351">
        <v>25045.67</v>
      </c>
      <c r="BR351" s="3">
        <v>45651</v>
      </c>
      <c r="BS351" t="s">
        <v>513</v>
      </c>
    </row>
    <row r="352" spans="1:71" x14ac:dyDescent="0.25">
      <c r="A352" t="s">
        <v>509</v>
      </c>
      <c r="B352" t="s">
        <v>476</v>
      </c>
      <c r="C352" s="2">
        <f>HYPERLINK("https://szao.dolgi.msk.ru/account/3470104094/", 3470104094)</f>
        <v>3470104094</v>
      </c>
      <c r="D352" t="s">
        <v>29</v>
      </c>
      <c r="E352">
        <v>21861.8</v>
      </c>
      <c r="AX352">
        <v>2.78</v>
      </c>
      <c r="AY352">
        <v>2.83</v>
      </c>
      <c r="AZ352" t="s">
        <v>30</v>
      </c>
      <c r="BA352" t="s">
        <v>31</v>
      </c>
      <c r="BB352">
        <v>21861.8</v>
      </c>
      <c r="BC352">
        <v>21861.8</v>
      </c>
      <c r="BD352">
        <v>21861.8</v>
      </c>
      <c r="BE352">
        <v>21861.8</v>
      </c>
      <c r="BF352">
        <v>14142.24</v>
      </c>
      <c r="BG352">
        <v>6926.12</v>
      </c>
      <c r="BH352">
        <v>6191.1</v>
      </c>
      <c r="BI352">
        <v>0</v>
      </c>
      <c r="BJ352">
        <v>0</v>
      </c>
      <c r="BK352">
        <v>4753.05</v>
      </c>
      <c r="BL352">
        <v>3335.7</v>
      </c>
      <c r="BM352">
        <v>655.83</v>
      </c>
      <c r="BP352" s="3">
        <v>45617</v>
      </c>
      <c r="BQ352">
        <v>18328.259999999998</v>
      </c>
    </row>
    <row r="353" spans="1:71" x14ac:dyDescent="0.25">
      <c r="A353" t="s">
        <v>509</v>
      </c>
      <c r="B353" t="s">
        <v>514</v>
      </c>
      <c r="C353" s="2">
        <f>HYPERLINK("https://szao.dolgi.msk.ru/account/3470101838/", 3470101838)</f>
        <v>3470101838</v>
      </c>
      <c r="D353" t="s">
        <v>29</v>
      </c>
      <c r="E353">
        <v>104495.47</v>
      </c>
      <c r="AX353">
        <v>10.85</v>
      </c>
      <c r="AY353">
        <v>10.68</v>
      </c>
      <c r="AZ353" t="s">
        <v>45</v>
      </c>
      <c r="BA353" t="s">
        <v>63</v>
      </c>
      <c r="BB353">
        <v>104495.47</v>
      </c>
      <c r="BC353">
        <v>104495.47</v>
      </c>
      <c r="BD353">
        <v>104495.47</v>
      </c>
      <c r="BE353">
        <v>104495.47</v>
      </c>
      <c r="BF353">
        <v>94724.03</v>
      </c>
      <c r="BG353">
        <v>23992.23</v>
      </c>
      <c r="BH353">
        <v>20535.939999999999</v>
      </c>
      <c r="BI353">
        <v>0</v>
      </c>
      <c r="BJ353">
        <v>0</v>
      </c>
      <c r="BK353">
        <v>15936.22</v>
      </c>
      <c r="BL353">
        <v>36513.64</v>
      </c>
      <c r="BM353">
        <v>7517.44</v>
      </c>
      <c r="BP353" s="3">
        <v>45426</v>
      </c>
      <c r="BQ353">
        <v>8168.98</v>
      </c>
    </row>
    <row r="354" spans="1:71" x14ac:dyDescent="0.25">
      <c r="A354" t="s">
        <v>509</v>
      </c>
      <c r="B354" t="s">
        <v>65</v>
      </c>
      <c r="C354" s="2">
        <f>HYPERLINK("https://szao.dolgi.msk.ru/account/3470102144/", 3470102144)</f>
        <v>3470102144</v>
      </c>
      <c r="D354" t="s">
        <v>29</v>
      </c>
      <c r="E354">
        <v>22567.94</v>
      </c>
      <c r="AX354">
        <v>2.69</v>
      </c>
      <c r="AY354">
        <v>2.96</v>
      </c>
      <c r="AZ354" t="s">
        <v>40</v>
      </c>
      <c r="BA354" t="s">
        <v>31</v>
      </c>
      <c r="BB354">
        <v>22567.94</v>
      </c>
      <c r="BC354">
        <v>22567.94</v>
      </c>
      <c r="BD354">
        <v>22567.94</v>
      </c>
      <c r="BE354">
        <v>22567.94</v>
      </c>
      <c r="BF354">
        <v>14947.42</v>
      </c>
      <c r="BG354">
        <v>6068.16</v>
      </c>
      <c r="BH354">
        <v>5908.76</v>
      </c>
      <c r="BI354">
        <v>0</v>
      </c>
      <c r="BJ354">
        <v>0</v>
      </c>
      <c r="BK354">
        <v>4514.25</v>
      </c>
      <c r="BL354">
        <v>5111.2</v>
      </c>
      <c r="BM354">
        <v>965.57</v>
      </c>
      <c r="BO354">
        <v>7620.52</v>
      </c>
      <c r="BP354" s="3">
        <v>45679</v>
      </c>
      <c r="BQ354">
        <v>7620.52</v>
      </c>
    </row>
    <row r="355" spans="1:71" x14ac:dyDescent="0.25">
      <c r="A355" t="s">
        <v>509</v>
      </c>
      <c r="B355" t="s">
        <v>515</v>
      </c>
      <c r="C355" s="2">
        <f>HYPERLINK("https://szao.dolgi.msk.ru/account/3470102363/", 3470102363)</f>
        <v>3470102363</v>
      </c>
      <c r="D355" t="s">
        <v>29</v>
      </c>
      <c r="E355">
        <v>19900.68</v>
      </c>
      <c r="AX355">
        <v>3.7</v>
      </c>
      <c r="AY355">
        <v>3.69</v>
      </c>
      <c r="AZ355" t="s">
        <v>30</v>
      </c>
      <c r="BA355" t="s">
        <v>49</v>
      </c>
      <c r="BB355">
        <v>19900.68</v>
      </c>
      <c r="BC355">
        <v>19900.68</v>
      </c>
      <c r="BD355">
        <v>19900.68</v>
      </c>
      <c r="BE355">
        <v>19900.68</v>
      </c>
      <c r="BF355">
        <v>14524.34</v>
      </c>
      <c r="BG355">
        <v>8277.2199999999993</v>
      </c>
      <c r="BH355">
        <v>1011.69</v>
      </c>
      <c r="BI355">
        <v>0</v>
      </c>
      <c r="BJ355">
        <v>0</v>
      </c>
      <c r="BK355">
        <v>776.71</v>
      </c>
      <c r="BL355">
        <v>8229.98</v>
      </c>
      <c r="BM355">
        <v>1605.08</v>
      </c>
      <c r="BP355" s="3">
        <v>45628</v>
      </c>
      <c r="BQ355">
        <v>9596.3700000000008</v>
      </c>
    </row>
    <row r="356" spans="1:71" x14ac:dyDescent="0.25">
      <c r="A356" t="s">
        <v>516</v>
      </c>
      <c r="B356" t="s">
        <v>62</v>
      </c>
      <c r="C356" s="2">
        <f>HYPERLINK("https://szao.dolgi.msk.ru/account/3470107711/", 3470107711)</f>
        <v>3470107711</v>
      </c>
      <c r="D356" t="s">
        <v>29</v>
      </c>
      <c r="E356">
        <v>120658.57</v>
      </c>
      <c r="AX356">
        <v>20.84</v>
      </c>
      <c r="AY356">
        <v>22.93</v>
      </c>
      <c r="AZ356" t="s">
        <v>56</v>
      </c>
      <c r="BA356" t="s">
        <v>36</v>
      </c>
      <c r="BB356">
        <v>120658.57</v>
      </c>
      <c r="BC356">
        <v>120658.57</v>
      </c>
      <c r="BD356">
        <v>120658.57</v>
      </c>
      <c r="BE356">
        <v>120658.57</v>
      </c>
      <c r="BF356">
        <v>115956.23</v>
      </c>
      <c r="BG356">
        <v>20455.55</v>
      </c>
      <c r="BH356">
        <v>10230.49</v>
      </c>
      <c r="BI356">
        <v>43500.83</v>
      </c>
      <c r="BJ356">
        <v>11577.39</v>
      </c>
      <c r="BK356">
        <v>17044.48</v>
      </c>
      <c r="BL356">
        <v>13181.21</v>
      </c>
      <c r="BM356">
        <v>4668.62</v>
      </c>
      <c r="BP356" s="3">
        <v>45204</v>
      </c>
      <c r="BQ356">
        <v>74901.25</v>
      </c>
      <c r="BR356" s="3">
        <v>45666</v>
      </c>
      <c r="BS356" t="s">
        <v>517</v>
      </c>
    </row>
    <row r="357" spans="1:71" x14ac:dyDescent="0.25">
      <c r="A357" t="s">
        <v>516</v>
      </c>
      <c r="B357" t="s">
        <v>518</v>
      </c>
      <c r="C357" s="2">
        <f>HYPERLINK("https://szao.dolgi.msk.ru/account/3470308409/", 3470308409)</f>
        <v>3470308409</v>
      </c>
      <c r="D357" t="s">
        <v>29</v>
      </c>
      <c r="E357">
        <v>6555.09</v>
      </c>
      <c r="AX357">
        <v>4.45</v>
      </c>
      <c r="AY357">
        <v>4.09</v>
      </c>
      <c r="AZ357" t="s">
        <v>142</v>
      </c>
      <c r="BA357" t="s">
        <v>49</v>
      </c>
      <c r="BB357">
        <v>6555.09</v>
      </c>
      <c r="BC357">
        <v>6555.09</v>
      </c>
      <c r="BD357">
        <v>7950.73</v>
      </c>
      <c r="BE357">
        <v>7950.73</v>
      </c>
      <c r="BF357">
        <v>12046.38</v>
      </c>
      <c r="BG357">
        <v>3491.13</v>
      </c>
      <c r="BH357">
        <v>-331.13</v>
      </c>
      <c r="BI357">
        <v>-570.66999999999996</v>
      </c>
      <c r="BJ357">
        <v>-148.02000000000001</v>
      </c>
      <c r="BK357">
        <v>-345.82</v>
      </c>
      <c r="BL357">
        <v>3730.16</v>
      </c>
      <c r="BM357">
        <v>729.44</v>
      </c>
      <c r="BN357">
        <v>5491.29</v>
      </c>
      <c r="BO357">
        <v>1601.48</v>
      </c>
      <c r="BP357" s="3">
        <v>45692</v>
      </c>
      <c r="BQ357">
        <v>7092.77</v>
      </c>
      <c r="BR357" s="3">
        <v>45588</v>
      </c>
      <c r="BS357" t="s">
        <v>519</v>
      </c>
    </row>
    <row r="358" spans="1:71" x14ac:dyDescent="0.25">
      <c r="A358" t="s">
        <v>516</v>
      </c>
      <c r="B358" t="s">
        <v>518</v>
      </c>
      <c r="C358" s="2">
        <f>HYPERLINK("https://szao.dolgi.msk.ru/account/3470597722/", 3470597722)</f>
        <v>3470597722</v>
      </c>
      <c r="D358" t="s">
        <v>29</v>
      </c>
      <c r="E358">
        <v>28826.9</v>
      </c>
      <c r="AX358">
        <v>12.64</v>
      </c>
      <c r="AY358">
        <v>11.14</v>
      </c>
      <c r="AZ358" t="s">
        <v>30</v>
      </c>
      <c r="BA358" t="s">
        <v>36</v>
      </c>
      <c r="BB358">
        <v>28826.9</v>
      </c>
      <c r="BC358">
        <v>28826.9</v>
      </c>
      <c r="BD358">
        <v>28826.9</v>
      </c>
      <c r="BE358">
        <v>28826.9</v>
      </c>
      <c r="BF358">
        <v>33916.300000000003</v>
      </c>
      <c r="BG358">
        <v>6614.36</v>
      </c>
      <c r="BH358">
        <v>2767.8</v>
      </c>
      <c r="BI358">
        <v>5156.6400000000003</v>
      </c>
      <c r="BJ358">
        <v>1388.25</v>
      </c>
      <c r="BK358">
        <v>3237.72</v>
      </c>
      <c r="BL358">
        <v>8020.77</v>
      </c>
      <c r="BM358">
        <v>1641.36</v>
      </c>
      <c r="BN358">
        <v>5905.37</v>
      </c>
      <c r="BO358">
        <v>2587</v>
      </c>
      <c r="BP358" s="3">
        <v>45692</v>
      </c>
      <c r="BQ358">
        <v>7676.4</v>
      </c>
      <c r="BR358" s="3">
        <v>45323</v>
      </c>
      <c r="BS358" t="s">
        <v>520</v>
      </c>
    </row>
    <row r="359" spans="1:71" x14ac:dyDescent="0.25">
      <c r="A359" t="s">
        <v>516</v>
      </c>
      <c r="B359" t="s">
        <v>521</v>
      </c>
      <c r="C359" s="2">
        <f>HYPERLINK("https://szao.dolgi.msk.ru/account/3470308476/", 3470308476)</f>
        <v>3470308476</v>
      </c>
      <c r="D359" t="s">
        <v>29</v>
      </c>
      <c r="E359">
        <v>75125.710000000006</v>
      </c>
      <c r="AX359">
        <v>36.6</v>
      </c>
      <c r="AY359">
        <v>38.799999999999997</v>
      </c>
      <c r="AZ359" t="s">
        <v>69</v>
      </c>
      <c r="BA359" t="s">
        <v>36</v>
      </c>
      <c r="BB359">
        <v>75125.710000000006</v>
      </c>
      <c r="BC359">
        <v>75125.710000000006</v>
      </c>
      <c r="BD359">
        <v>75125.710000000006</v>
      </c>
      <c r="BE359">
        <v>75125.710000000006</v>
      </c>
      <c r="BF359">
        <v>73189.5</v>
      </c>
      <c r="BG359">
        <v>17451.150000000001</v>
      </c>
      <c r="BH359">
        <v>9612.9599999999991</v>
      </c>
      <c r="BI359">
        <v>19379.900000000001</v>
      </c>
      <c r="BJ359">
        <v>5073.92</v>
      </c>
      <c r="BK359">
        <v>1505.22</v>
      </c>
      <c r="BL359">
        <v>18549</v>
      </c>
      <c r="BM359">
        <v>3553.56</v>
      </c>
      <c r="BP359" s="3">
        <v>45587</v>
      </c>
      <c r="BQ359">
        <v>0</v>
      </c>
      <c r="BR359" s="3">
        <v>45637</v>
      </c>
      <c r="BS359" t="s">
        <v>522</v>
      </c>
    </row>
    <row r="360" spans="1:71" x14ac:dyDescent="0.25">
      <c r="A360" t="s">
        <v>516</v>
      </c>
      <c r="B360" t="s">
        <v>523</v>
      </c>
      <c r="C360" s="2">
        <f>HYPERLINK("https://szao.dolgi.msk.ru/account/3470308521/", 3470308521)</f>
        <v>3470308521</v>
      </c>
      <c r="D360" t="s">
        <v>29</v>
      </c>
      <c r="E360">
        <v>4813.92</v>
      </c>
      <c r="AX360">
        <v>3.79</v>
      </c>
      <c r="AY360">
        <v>0.91</v>
      </c>
      <c r="AZ360" t="s">
        <v>35</v>
      </c>
      <c r="BA360" t="s">
        <v>49</v>
      </c>
      <c r="BB360">
        <v>4813.92</v>
      </c>
      <c r="BC360">
        <v>4813.92</v>
      </c>
      <c r="BD360">
        <v>8256.3700000000008</v>
      </c>
      <c r="BE360">
        <v>8256.3700000000008</v>
      </c>
      <c r="BF360">
        <v>-457.44</v>
      </c>
      <c r="BG360">
        <v>0</v>
      </c>
      <c r="BH360">
        <v>0</v>
      </c>
      <c r="BI360">
        <v>-3442.45</v>
      </c>
      <c r="BJ360">
        <v>7090.4</v>
      </c>
      <c r="BK360">
        <v>0</v>
      </c>
      <c r="BL360">
        <v>0</v>
      </c>
      <c r="BM360">
        <v>1165.97</v>
      </c>
      <c r="BO360">
        <v>4315.8100000000004</v>
      </c>
      <c r="BP360" s="3">
        <v>45674</v>
      </c>
      <c r="BQ360">
        <v>4315.8100000000004</v>
      </c>
      <c r="BR360" s="3">
        <v>45488</v>
      </c>
      <c r="BS360" t="s">
        <v>524</v>
      </c>
    </row>
    <row r="361" spans="1:71" x14ac:dyDescent="0.25">
      <c r="A361" t="s">
        <v>516</v>
      </c>
      <c r="B361" t="s">
        <v>525</v>
      </c>
      <c r="C361" s="2">
        <f>HYPERLINK("https://szao.dolgi.msk.ru/account/3470107957/", 3470107957)</f>
        <v>3470107957</v>
      </c>
      <c r="D361" t="s">
        <v>29</v>
      </c>
      <c r="E361">
        <v>242517.9</v>
      </c>
      <c r="AX361">
        <v>24.85</v>
      </c>
      <c r="AY361">
        <v>21.47</v>
      </c>
      <c r="AZ361" t="s">
        <v>45</v>
      </c>
      <c r="BA361" t="s">
        <v>36</v>
      </c>
      <c r="BB361">
        <v>242517.9</v>
      </c>
      <c r="BC361">
        <v>242517.9</v>
      </c>
      <c r="BD361">
        <v>242517.9</v>
      </c>
      <c r="BE361">
        <v>242517.9</v>
      </c>
      <c r="BF361">
        <v>231221.9</v>
      </c>
      <c r="BG361">
        <v>20366.59</v>
      </c>
      <c r="BH361">
        <v>22865.9</v>
      </c>
      <c r="BI361">
        <v>65167.37</v>
      </c>
      <c r="BJ361">
        <v>21942.73</v>
      </c>
      <c r="BK361">
        <v>39981.519999999997</v>
      </c>
      <c r="BL361">
        <v>61614.27</v>
      </c>
      <c r="BM361">
        <v>10579.52</v>
      </c>
      <c r="BP361" s="3">
        <v>45596</v>
      </c>
      <c r="BQ361">
        <v>0</v>
      </c>
      <c r="BR361" s="3">
        <v>45666</v>
      </c>
      <c r="BS361" t="s">
        <v>526</v>
      </c>
    </row>
    <row r="362" spans="1:71" x14ac:dyDescent="0.25">
      <c r="A362" t="s">
        <v>516</v>
      </c>
      <c r="B362" t="s">
        <v>527</v>
      </c>
      <c r="C362" s="2">
        <f>HYPERLINK("https://szao.dolgi.msk.ru/account/3470308804/", 3470308804)</f>
        <v>3470308804</v>
      </c>
      <c r="D362" t="s">
        <v>29</v>
      </c>
      <c r="E362">
        <v>47173</v>
      </c>
      <c r="AX362">
        <v>9.4600000000000009</v>
      </c>
      <c r="AY362">
        <v>6.71</v>
      </c>
      <c r="AZ362" t="s">
        <v>30</v>
      </c>
      <c r="BA362" t="s">
        <v>63</v>
      </c>
      <c r="BB362">
        <v>47173</v>
      </c>
      <c r="BC362">
        <v>47173</v>
      </c>
      <c r="BD362">
        <v>47173</v>
      </c>
      <c r="BE362">
        <v>47173</v>
      </c>
      <c r="BF362">
        <v>53245.01</v>
      </c>
      <c r="BG362">
        <v>7803.26</v>
      </c>
      <c r="BH362">
        <v>7799.79</v>
      </c>
      <c r="BI362">
        <v>4484.8900000000003</v>
      </c>
      <c r="BJ362">
        <v>1746.18</v>
      </c>
      <c r="BK362">
        <v>10661.37</v>
      </c>
      <c r="BL362">
        <v>11196.32</v>
      </c>
      <c r="BM362">
        <v>3481.19</v>
      </c>
      <c r="BP362" s="3">
        <v>45644</v>
      </c>
      <c r="BQ362">
        <v>6883.89</v>
      </c>
      <c r="BR362" s="3">
        <v>45684</v>
      </c>
      <c r="BS362" t="s">
        <v>528</v>
      </c>
    </row>
    <row r="363" spans="1:71" x14ac:dyDescent="0.25">
      <c r="A363" t="s">
        <v>516</v>
      </c>
      <c r="B363" t="s">
        <v>529</v>
      </c>
      <c r="C363" s="2">
        <f>HYPERLINK("https://szao.dolgi.msk.ru/account/3470109696/", 3470109696)</f>
        <v>3470109696</v>
      </c>
      <c r="D363" t="s">
        <v>29</v>
      </c>
      <c r="E363">
        <v>10420.51</v>
      </c>
      <c r="AX363">
        <v>4.46</v>
      </c>
      <c r="AY363">
        <v>4.1399999999999997</v>
      </c>
      <c r="AZ363" t="s">
        <v>69</v>
      </c>
      <c r="BA363" t="s">
        <v>49</v>
      </c>
      <c r="BB363">
        <v>10420.51</v>
      </c>
      <c r="BC363">
        <v>10420.51</v>
      </c>
      <c r="BD363">
        <v>11188.44</v>
      </c>
      <c r="BE363">
        <v>11188.44</v>
      </c>
      <c r="BF363">
        <v>8325.65</v>
      </c>
      <c r="BG363">
        <v>4565.51</v>
      </c>
      <c r="BH363">
        <v>44.67</v>
      </c>
      <c r="BI363">
        <v>-539.54999999999995</v>
      </c>
      <c r="BJ363">
        <v>-142.96</v>
      </c>
      <c r="BK363">
        <v>-85.42</v>
      </c>
      <c r="BL363">
        <v>5502.3</v>
      </c>
      <c r="BM363">
        <v>1075.96</v>
      </c>
      <c r="BP363" s="3">
        <v>45642</v>
      </c>
      <c r="BQ363">
        <v>1449.99</v>
      </c>
    </row>
    <row r="364" spans="1:71" x14ac:dyDescent="0.25">
      <c r="A364" t="s">
        <v>516</v>
      </c>
      <c r="B364" t="s">
        <v>530</v>
      </c>
      <c r="C364" s="2">
        <f>HYPERLINK("https://szao.dolgi.msk.ru/account/3470109872/", 3470109872)</f>
        <v>3470109872</v>
      </c>
      <c r="D364" t="s">
        <v>29</v>
      </c>
      <c r="E364">
        <v>20026.63</v>
      </c>
      <c r="AX364">
        <v>3.07</v>
      </c>
      <c r="AY364">
        <v>2.6</v>
      </c>
      <c r="AZ364" t="s">
        <v>35</v>
      </c>
      <c r="BA364" t="s">
        <v>49</v>
      </c>
      <c r="BB364">
        <v>20026.63</v>
      </c>
      <c r="BC364">
        <v>20026.63</v>
      </c>
      <c r="BD364">
        <v>20026.63</v>
      </c>
      <c r="BE364">
        <v>20026.63</v>
      </c>
      <c r="BF364">
        <v>20026.63</v>
      </c>
      <c r="BG364">
        <v>6779.41</v>
      </c>
      <c r="BH364">
        <v>1775.76</v>
      </c>
      <c r="BI364">
        <v>1956.43</v>
      </c>
      <c r="BJ364">
        <v>508.84</v>
      </c>
      <c r="BK364">
        <v>1795.53</v>
      </c>
      <c r="BL364">
        <v>6064.08</v>
      </c>
      <c r="BM364">
        <v>1146.58</v>
      </c>
      <c r="BO364">
        <v>7712.76</v>
      </c>
      <c r="BP364" s="3">
        <v>45692</v>
      </c>
      <c r="BQ364">
        <v>7712.76</v>
      </c>
      <c r="BR364" s="3">
        <v>45103</v>
      </c>
      <c r="BS364" t="s">
        <v>531</v>
      </c>
    </row>
    <row r="365" spans="1:71" x14ac:dyDescent="0.25">
      <c r="A365" t="s">
        <v>516</v>
      </c>
      <c r="B365" t="s">
        <v>144</v>
      </c>
      <c r="C365" s="2">
        <f>HYPERLINK("https://szao.dolgi.msk.ru/account/3470109952/", 3470109952)</f>
        <v>3470109952</v>
      </c>
      <c r="D365" t="s">
        <v>29</v>
      </c>
      <c r="E365">
        <v>35673.629999999997</v>
      </c>
      <c r="AX365">
        <v>5.18</v>
      </c>
      <c r="AY365">
        <v>5.08</v>
      </c>
      <c r="AZ365" t="s">
        <v>69</v>
      </c>
      <c r="BA365" t="s">
        <v>49</v>
      </c>
      <c r="BB365">
        <v>35673.629999999997</v>
      </c>
      <c r="BC365">
        <v>35673.629999999997</v>
      </c>
      <c r="BD365">
        <v>35673.629999999997</v>
      </c>
      <c r="BE365">
        <v>35673.629999999997</v>
      </c>
      <c r="BF365">
        <v>28650.49</v>
      </c>
      <c r="BG365">
        <v>12738.58</v>
      </c>
      <c r="BH365">
        <v>2250.08</v>
      </c>
      <c r="BI365">
        <v>2467.64</v>
      </c>
      <c r="BJ365">
        <v>682.12</v>
      </c>
      <c r="BK365">
        <v>2268.52</v>
      </c>
      <c r="BL365">
        <v>12738.21</v>
      </c>
      <c r="BM365">
        <v>2528.48</v>
      </c>
      <c r="BP365" s="3">
        <v>45603</v>
      </c>
      <c r="BQ365">
        <v>5973.78</v>
      </c>
    </row>
    <row r="366" spans="1:71" x14ac:dyDescent="0.25">
      <c r="A366" t="s">
        <v>516</v>
      </c>
      <c r="B366" t="s">
        <v>73</v>
      </c>
      <c r="C366" s="2">
        <f>HYPERLINK("https://szao.dolgi.msk.ru/account/3470110013/", 3470110013)</f>
        <v>3470110013</v>
      </c>
      <c r="D366" t="s">
        <v>29</v>
      </c>
      <c r="E366">
        <v>27414.959999999999</v>
      </c>
      <c r="AX366">
        <v>3.84</v>
      </c>
      <c r="AY366">
        <v>3.95</v>
      </c>
      <c r="AZ366" t="s">
        <v>30</v>
      </c>
      <c r="BA366" t="s">
        <v>49</v>
      </c>
      <c r="BB366">
        <v>27414.959999999999</v>
      </c>
      <c r="BC366">
        <v>27414.959999999999</v>
      </c>
      <c r="BD366">
        <v>27414.959999999999</v>
      </c>
      <c r="BE366">
        <v>27414.959999999999</v>
      </c>
      <c r="BF366">
        <v>20535.14</v>
      </c>
      <c r="BG366">
        <v>6184.71</v>
      </c>
      <c r="BH366">
        <v>2769.93</v>
      </c>
      <c r="BI366">
        <v>6063.86</v>
      </c>
      <c r="BJ366">
        <v>1631.33</v>
      </c>
      <c r="BK366">
        <v>3503.36</v>
      </c>
      <c r="BL366">
        <v>6016.61</v>
      </c>
      <c r="BM366">
        <v>1245.1600000000001</v>
      </c>
      <c r="BN366">
        <v>19713.25</v>
      </c>
      <c r="BP366" s="3">
        <v>45684</v>
      </c>
      <c r="BQ366">
        <v>19713.25</v>
      </c>
      <c r="BR366" s="3">
        <v>45637</v>
      </c>
      <c r="BS366" t="s">
        <v>532</v>
      </c>
    </row>
    <row r="367" spans="1:71" x14ac:dyDescent="0.25">
      <c r="A367" t="s">
        <v>516</v>
      </c>
      <c r="B367" t="s">
        <v>533</v>
      </c>
      <c r="C367" s="2">
        <f>HYPERLINK("https://szao.dolgi.msk.ru/account/3470110291/", 3470110291)</f>
        <v>3470110291</v>
      </c>
      <c r="D367" t="s">
        <v>29</v>
      </c>
      <c r="E367">
        <v>62093.61</v>
      </c>
      <c r="AX367">
        <v>4.78</v>
      </c>
      <c r="AY367">
        <v>4.8099999999999996</v>
      </c>
      <c r="AZ367" t="s">
        <v>69</v>
      </c>
      <c r="BA367" t="s">
        <v>49</v>
      </c>
      <c r="BB367">
        <v>62093.61</v>
      </c>
      <c r="BC367">
        <v>62093.61</v>
      </c>
      <c r="BD367">
        <v>62093.61</v>
      </c>
      <c r="BE367">
        <v>62093.61</v>
      </c>
      <c r="BF367">
        <v>49190.52</v>
      </c>
      <c r="BG367">
        <v>10374.86</v>
      </c>
      <c r="BH367">
        <v>7257.45</v>
      </c>
      <c r="BI367">
        <v>17632.150000000001</v>
      </c>
      <c r="BJ367">
        <v>4965.6000000000004</v>
      </c>
      <c r="BK367">
        <v>9384.0499999999993</v>
      </c>
      <c r="BL367">
        <v>10438.35</v>
      </c>
      <c r="BM367">
        <v>2041.15</v>
      </c>
      <c r="BP367" s="3">
        <v>45548</v>
      </c>
      <c r="BQ367">
        <v>5542.2</v>
      </c>
    </row>
    <row r="368" spans="1:71" x14ac:dyDescent="0.25">
      <c r="A368" t="s">
        <v>516</v>
      </c>
      <c r="B368" t="s">
        <v>534</v>
      </c>
      <c r="C368" s="2">
        <f>HYPERLINK("https://szao.dolgi.msk.ru/account/3470110486/", 3470110486)</f>
        <v>3470110486</v>
      </c>
      <c r="D368" t="s">
        <v>29</v>
      </c>
      <c r="E368">
        <v>17501.8</v>
      </c>
      <c r="AX368">
        <v>4.4800000000000004</v>
      </c>
      <c r="AY368">
        <v>4.32</v>
      </c>
      <c r="AZ368" t="s">
        <v>45</v>
      </c>
      <c r="BA368" t="s">
        <v>49</v>
      </c>
      <c r="BB368">
        <v>17501.8</v>
      </c>
      <c r="BC368">
        <v>17501.8</v>
      </c>
      <c r="BD368">
        <v>19095.189999999999</v>
      </c>
      <c r="BE368">
        <v>19095.189999999999</v>
      </c>
      <c r="BF368">
        <v>13450.34</v>
      </c>
      <c r="BG368">
        <v>8142.74</v>
      </c>
      <c r="BH368">
        <v>779.11</v>
      </c>
      <c r="BI368">
        <v>-1281.5999999999999</v>
      </c>
      <c r="BJ368">
        <v>-311.79000000000002</v>
      </c>
      <c r="BK368">
        <v>391.57</v>
      </c>
      <c r="BL368">
        <v>8181.87</v>
      </c>
      <c r="BM368">
        <v>1599.9</v>
      </c>
      <c r="BP368" s="3">
        <v>45527</v>
      </c>
      <c r="BQ368">
        <v>2305.73</v>
      </c>
    </row>
    <row r="369" spans="1:71" x14ac:dyDescent="0.25">
      <c r="A369" t="s">
        <v>535</v>
      </c>
      <c r="B369" t="s">
        <v>136</v>
      </c>
      <c r="C369" s="2">
        <f>HYPERLINK("https://szao.dolgi.msk.ru/account/3470111534/", 3470111534)</f>
        <v>3470111534</v>
      </c>
      <c r="D369" t="s">
        <v>29</v>
      </c>
      <c r="E369">
        <v>578987.36</v>
      </c>
      <c r="AX369">
        <v>23.58</v>
      </c>
      <c r="AY369">
        <v>23.29</v>
      </c>
      <c r="AZ369" t="s">
        <v>56</v>
      </c>
      <c r="BA369" t="s">
        <v>36</v>
      </c>
      <c r="BB369">
        <v>578987.36</v>
      </c>
      <c r="BC369">
        <v>578987.36</v>
      </c>
      <c r="BD369">
        <v>578987.36</v>
      </c>
      <c r="BE369">
        <v>578987.36</v>
      </c>
      <c r="BF369">
        <v>554128.46</v>
      </c>
      <c r="BG369">
        <v>17537.91</v>
      </c>
      <c r="BH369">
        <v>74017</v>
      </c>
      <c r="BI369">
        <v>230120.63</v>
      </c>
      <c r="BJ369">
        <v>57164.9</v>
      </c>
      <c r="BK369">
        <v>104503.65</v>
      </c>
      <c r="BL369">
        <v>80735.67</v>
      </c>
      <c r="BM369">
        <v>14907.6</v>
      </c>
      <c r="BN369">
        <v>1850</v>
      </c>
      <c r="BP369" s="3">
        <v>45683</v>
      </c>
      <c r="BQ369">
        <v>1850</v>
      </c>
      <c r="BR369" s="3">
        <v>45692</v>
      </c>
      <c r="BS369" t="s">
        <v>128</v>
      </c>
    </row>
    <row r="370" spans="1:71" x14ac:dyDescent="0.25">
      <c r="A370" t="s">
        <v>535</v>
      </c>
      <c r="B370" t="s">
        <v>173</v>
      </c>
      <c r="C370" s="2">
        <f>HYPERLINK("https://szao.dolgi.msk.ru/account/3470110929/", 3470110929)</f>
        <v>3470110929</v>
      </c>
      <c r="D370" t="s">
        <v>29</v>
      </c>
      <c r="E370">
        <v>13337.21</v>
      </c>
      <c r="AX370">
        <v>3.07</v>
      </c>
      <c r="AY370">
        <v>4.25</v>
      </c>
      <c r="AZ370" t="s">
        <v>40</v>
      </c>
      <c r="BA370" t="s">
        <v>49</v>
      </c>
      <c r="BB370">
        <v>13337.21</v>
      </c>
      <c r="BC370">
        <v>13337.21</v>
      </c>
      <c r="BD370">
        <v>13337.21</v>
      </c>
      <c r="BE370">
        <v>13337.21</v>
      </c>
      <c r="BF370">
        <v>10198.950000000001</v>
      </c>
      <c r="BG370">
        <v>699.68</v>
      </c>
      <c r="BH370">
        <v>6115.05</v>
      </c>
      <c r="BI370">
        <v>683.32</v>
      </c>
      <c r="BJ370">
        <v>181.04</v>
      </c>
      <c r="BK370">
        <v>4944.53</v>
      </c>
      <c r="BL370">
        <v>604.57000000000005</v>
      </c>
      <c r="BM370">
        <v>109.02</v>
      </c>
      <c r="BO370">
        <v>3138.26</v>
      </c>
      <c r="BP370" s="3">
        <v>45678</v>
      </c>
      <c r="BQ370">
        <v>3138.26</v>
      </c>
    </row>
    <row r="371" spans="1:71" x14ac:dyDescent="0.25">
      <c r="A371" t="s">
        <v>535</v>
      </c>
      <c r="B371" t="s">
        <v>481</v>
      </c>
      <c r="C371" s="2">
        <f>HYPERLINK("https://szao.dolgi.msk.ru/account/3470111024/", 3470111024)</f>
        <v>3470111024</v>
      </c>
      <c r="D371" t="s">
        <v>29</v>
      </c>
      <c r="E371">
        <v>13798.39</v>
      </c>
      <c r="AX371">
        <v>2.25</v>
      </c>
      <c r="AY371">
        <v>2.2400000000000002</v>
      </c>
      <c r="AZ371" t="s">
        <v>30</v>
      </c>
      <c r="BA371" t="s">
        <v>31</v>
      </c>
      <c r="BB371">
        <v>13798.39</v>
      </c>
      <c r="BC371">
        <v>13798.39</v>
      </c>
      <c r="BD371">
        <v>13798.39</v>
      </c>
      <c r="BE371">
        <v>13798.39</v>
      </c>
      <c r="BF371">
        <v>7630.34</v>
      </c>
      <c r="BG371">
        <v>1831.23</v>
      </c>
      <c r="BH371">
        <v>1449.65</v>
      </c>
      <c r="BI371">
        <v>4246.8</v>
      </c>
      <c r="BJ371">
        <v>1196</v>
      </c>
      <c r="BK371">
        <v>2018.67</v>
      </c>
      <c r="BL371">
        <v>2608.56</v>
      </c>
      <c r="BM371">
        <v>447.48</v>
      </c>
      <c r="BP371" s="3">
        <v>45667</v>
      </c>
      <c r="BQ371">
        <v>8513.1200000000008</v>
      </c>
      <c r="BR371" s="3">
        <v>45481</v>
      </c>
      <c r="BS371" t="s">
        <v>536</v>
      </c>
    </row>
    <row r="372" spans="1:71" x14ac:dyDescent="0.25">
      <c r="A372" t="s">
        <v>535</v>
      </c>
      <c r="B372" t="s">
        <v>95</v>
      </c>
      <c r="C372" s="2">
        <f>HYPERLINK("https://szao.dolgi.msk.ru/account/3470111163/", 3470111163)</f>
        <v>3470111163</v>
      </c>
      <c r="D372" t="s">
        <v>29</v>
      </c>
      <c r="E372">
        <v>25715.23</v>
      </c>
      <c r="AX372">
        <v>9.81</v>
      </c>
      <c r="AY372">
        <v>10.45</v>
      </c>
      <c r="AZ372" t="s">
        <v>45</v>
      </c>
      <c r="BA372" t="s">
        <v>63</v>
      </c>
      <c r="BB372">
        <v>25715.23</v>
      </c>
      <c r="BC372">
        <v>25715.23</v>
      </c>
      <c r="BD372">
        <v>25715.23</v>
      </c>
      <c r="BE372">
        <v>25715.23</v>
      </c>
      <c r="BF372">
        <v>23254.799999999999</v>
      </c>
      <c r="BG372">
        <v>5124.58</v>
      </c>
      <c r="BH372">
        <v>2713.68</v>
      </c>
      <c r="BI372">
        <v>4309.55</v>
      </c>
      <c r="BJ372">
        <v>1207.9000000000001</v>
      </c>
      <c r="BK372">
        <v>3018.24</v>
      </c>
      <c r="BL372">
        <v>7949.89</v>
      </c>
      <c r="BM372">
        <v>1391.39</v>
      </c>
      <c r="BP372" s="3">
        <v>45475</v>
      </c>
      <c r="BQ372">
        <v>2452.88</v>
      </c>
    </row>
    <row r="373" spans="1:71" x14ac:dyDescent="0.25">
      <c r="A373" t="s">
        <v>537</v>
      </c>
      <c r="B373" t="s">
        <v>538</v>
      </c>
      <c r="C373" s="2">
        <f>HYPERLINK("https://szao.dolgi.msk.ru/account/3470539995/", 3470539995)</f>
        <v>3470539995</v>
      </c>
      <c r="D373" t="s">
        <v>29</v>
      </c>
      <c r="E373">
        <v>21387.61</v>
      </c>
      <c r="AX373">
        <v>12.99</v>
      </c>
      <c r="AY373">
        <v>6.72</v>
      </c>
      <c r="AZ373" t="s">
        <v>35</v>
      </c>
      <c r="BA373" t="s">
        <v>36</v>
      </c>
      <c r="BB373">
        <v>21387.61</v>
      </c>
      <c r="BC373">
        <v>21387.61</v>
      </c>
      <c r="BD373">
        <v>38829.86</v>
      </c>
      <c r="BE373">
        <v>38829.86</v>
      </c>
      <c r="BF373">
        <v>21358.35</v>
      </c>
      <c r="BG373">
        <v>22174.76</v>
      </c>
      <c r="BH373">
        <v>764.28</v>
      </c>
      <c r="BI373">
        <v>3641.11</v>
      </c>
      <c r="BJ373">
        <v>940.96</v>
      </c>
      <c r="BK373">
        <v>-17442.25</v>
      </c>
      <c r="BL373">
        <v>10332.41</v>
      </c>
      <c r="BM373">
        <v>976.34</v>
      </c>
      <c r="BO373">
        <v>3155.11</v>
      </c>
      <c r="BP373" s="3">
        <v>45693</v>
      </c>
      <c r="BQ373">
        <v>3155.11</v>
      </c>
      <c r="BR373" s="3">
        <v>44889</v>
      </c>
      <c r="BS373" t="s">
        <v>539</v>
      </c>
    </row>
    <row r="374" spans="1:71" x14ac:dyDescent="0.25">
      <c r="A374" t="s">
        <v>537</v>
      </c>
      <c r="B374" t="s">
        <v>478</v>
      </c>
      <c r="C374" s="2">
        <f>HYPERLINK("https://szao.dolgi.msk.ru/account/3470112369/", 3470112369)</f>
        <v>3470112369</v>
      </c>
      <c r="D374" t="s">
        <v>29</v>
      </c>
      <c r="E374">
        <v>21317.07</v>
      </c>
      <c r="AX374">
        <v>7.22</v>
      </c>
      <c r="AY374">
        <v>7.34</v>
      </c>
      <c r="AZ374" t="s">
        <v>40</v>
      </c>
      <c r="BA374" t="s">
        <v>66</v>
      </c>
      <c r="BB374">
        <v>21317.07</v>
      </c>
      <c r="BC374">
        <v>21317.07</v>
      </c>
      <c r="BD374">
        <v>21317.07</v>
      </c>
      <c r="BE374">
        <v>21317.07</v>
      </c>
      <c r="BF374">
        <v>18413.66</v>
      </c>
      <c r="BG374">
        <v>5091.58</v>
      </c>
      <c r="BH374">
        <v>2950.82</v>
      </c>
      <c r="BI374">
        <v>5146.99</v>
      </c>
      <c r="BJ374">
        <v>2057.71</v>
      </c>
      <c r="BK374">
        <v>3682.62</v>
      </c>
      <c r="BL374">
        <v>2157.7399999999998</v>
      </c>
      <c r="BM374">
        <v>229.61</v>
      </c>
      <c r="BO374">
        <v>2903.41</v>
      </c>
      <c r="BP374" s="3">
        <v>45686</v>
      </c>
      <c r="BQ374">
        <v>2903.41</v>
      </c>
      <c r="BR374" s="3">
        <v>45672</v>
      </c>
      <c r="BS374" t="s">
        <v>540</v>
      </c>
    </row>
    <row r="375" spans="1:71" x14ac:dyDescent="0.25">
      <c r="A375" t="s">
        <v>537</v>
      </c>
      <c r="B375" t="s">
        <v>527</v>
      </c>
      <c r="C375" s="2">
        <f>HYPERLINK("https://szao.dolgi.msk.ru/account/3470112545/", 3470112545)</f>
        <v>3470112545</v>
      </c>
      <c r="D375" t="s">
        <v>29</v>
      </c>
      <c r="E375">
        <v>41147.9</v>
      </c>
      <c r="AX375">
        <v>6.36</v>
      </c>
      <c r="AY375">
        <v>6.37</v>
      </c>
      <c r="AZ375" t="s">
        <v>69</v>
      </c>
      <c r="BA375" t="s">
        <v>66</v>
      </c>
      <c r="BB375">
        <v>41147.9</v>
      </c>
      <c r="BC375">
        <v>41147.9</v>
      </c>
      <c r="BD375">
        <v>41147.9</v>
      </c>
      <c r="BE375">
        <v>41147.9</v>
      </c>
      <c r="BF375">
        <v>34690.400000000001</v>
      </c>
      <c r="BG375">
        <v>11192.83</v>
      </c>
      <c r="BH375">
        <v>4169.95</v>
      </c>
      <c r="BI375">
        <v>10293.030000000001</v>
      </c>
      <c r="BJ375">
        <v>2853.1</v>
      </c>
      <c r="BK375">
        <v>5422.31</v>
      </c>
      <c r="BL375">
        <v>6072.52</v>
      </c>
      <c r="BM375">
        <v>1144.1600000000001</v>
      </c>
      <c r="BP375" s="3">
        <v>45582</v>
      </c>
      <c r="BQ375">
        <v>5972.26</v>
      </c>
      <c r="BR375" s="3">
        <v>45187</v>
      </c>
      <c r="BS375" t="s">
        <v>541</v>
      </c>
    </row>
    <row r="376" spans="1:71" x14ac:dyDescent="0.25">
      <c r="A376" t="s">
        <v>537</v>
      </c>
      <c r="B376" t="s">
        <v>469</v>
      </c>
      <c r="C376" s="2">
        <f>HYPERLINK("https://szao.dolgi.msk.ru/account/3470112588/", 3470112588)</f>
        <v>3470112588</v>
      </c>
      <c r="D376" t="s">
        <v>29</v>
      </c>
      <c r="E376">
        <v>21954.33</v>
      </c>
      <c r="AX376">
        <v>2.19</v>
      </c>
      <c r="AY376">
        <v>2.0699999999999998</v>
      </c>
      <c r="AZ376" t="s">
        <v>142</v>
      </c>
      <c r="BA376" t="s">
        <v>31</v>
      </c>
      <c r="BB376">
        <v>21954.33</v>
      </c>
      <c r="BC376">
        <v>21954.33</v>
      </c>
      <c r="BD376">
        <v>21954.33</v>
      </c>
      <c r="BE376">
        <v>21954.33</v>
      </c>
      <c r="BF376">
        <v>11351.89</v>
      </c>
      <c r="BG376">
        <v>6428.09</v>
      </c>
      <c r="BH376">
        <v>1375.4</v>
      </c>
      <c r="BI376">
        <v>3609.78</v>
      </c>
      <c r="BJ376">
        <v>1016.6</v>
      </c>
      <c r="BK376">
        <v>1836.4</v>
      </c>
      <c r="BL376">
        <v>6435.74</v>
      </c>
      <c r="BM376">
        <v>1252.32</v>
      </c>
      <c r="BP376" s="3">
        <v>45646</v>
      </c>
      <c r="BQ376">
        <v>38776.370000000003</v>
      </c>
    </row>
    <row r="377" spans="1:71" x14ac:dyDescent="0.25">
      <c r="A377" t="s">
        <v>537</v>
      </c>
      <c r="B377" t="s">
        <v>542</v>
      </c>
      <c r="C377" s="2">
        <f>HYPERLINK("https://szao.dolgi.msk.ru/account/3470113468/", 3470113468)</f>
        <v>3470113468</v>
      </c>
      <c r="D377" t="s">
        <v>29</v>
      </c>
      <c r="E377">
        <v>17054.689999999999</v>
      </c>
      <c r="AX377">
        <v>2.3199999999999998</v>
      </c>
      <c r="AY377">
        <v>2.44</v>
      </c>
      <c r="AZ377" t="s">
        <v>30</v>
      </c>
      <c r="BA377" t="s">
        <v>31</v>
      </c>
      <c r="BB377">
        <v>17054.689999999999</v>
      </c>
      <c r="BC377">
        <v>17054.689999999999</v>
      </c>
      <c r="BD377">
        <v>17054.689999999999</v>
      </c>
      <c r="BE377">
        <v>17054.689999999999</v>
      </c>
      <c r="BF377">
        <v>10074.51</v>
      </c>
      <c r="BG377">
        <v>3787.37</v>
      </c>
      <c r="BH377">
        <v>1255.8</v>
      </c>
      <c r="BI377">
        <v>4459.1400000000003</v>
      </c>
      <c r="BJ377">
        <v>1255.8</v>
      </c>
      <c r="BK377">
        <v>1928.22</v>
      </c>
      <c r="BL377">
        <v>3683.2</v>
      </c>
      <c r="BM377">
        <v>685.16</v>
      </c>
      <c r="BP377" s="3">
        <v>45638</v>
      </c>
      <c r="BQ377">
        <v>15167.77</v>
      </c>
    </row>
    <row r="378" spans="1:71" x14ac:dyDescent="0.25">
      <c r="A378" t="s">
        <v>537</v>
      </c>
      <c r="B378" t="s">
        <v>319</v>
      </c>
      <c r="C378" s="2">
        <f>HYPERLINK("https://szao.dolgi.msk.ru/account/3470113556/", 3470113556)</f>
        <v>3470113556</v>
      </c>
      <c r="D378" t="s">
        <v>29</v>
      </c>
      <c r="E378">
        <v>16285.45</v>
      </c>
      <c r="AX378">
        <v>3.33</v>
      </c>
      <c r="AY378">
        <v>3.74</v>
      </c>
      <c r="AZ378" t="s">
        <v>40</v>
      </c>
      <c r="BA378" t="s">
        <v>49</v>
      </c>
      <c r="BB378">
        <v>16285.45</v>
      </c>
      <c r="BC378">
        <v>16285.45</v>
      </c>
      <c r="BD378">
        <v>16285.45</v>
      </c>
      <c r="BE378">
        <v>16285.45</v>
      </c>
      <c r="BF378">
        <v>11934.98</v>
      </c>
      <c r="BG378">
        <v>4870.93</v>
      </c>
      <c r="BH378">
        <v>1036.78</v>
      </c>
      <c r="BI378">
        <v>2518.88</v>
      </c>
      <c r="BJ378">
        <v>709.37</v>
      </c>
      <c r="BK378">
        <v>1340.58</v>
      </c>
      <c r="BL378">
        <v>4897.8</v>
      </c>
      <c r="BM378">
        <v>911.11</v>
      </c>
      <c r="BP378" s="3">
        <v>45666</v>
      </c>
      <c r="BQ378">
        <v>3840.2</v>
      </c>
    </row>
    <row r="379" spans="1:71" x14ac:dyDescent="0.25">
      <c r="A379" t="s">
        <v>537</v>
      </c>
      <c r="B379" t="s">
        <v>543</v>
      </c>
      <c r="C379" s="2">
        <f>HYPERLINK("https://szao.dolgi.msk.ru/account/3470113636/", 3470113636)</f>
        <v>3470113636</v>
      </c>
      <c r="D379" t="s">
        <v>29</v>
      </c>
      <c r="E379">
        <v>23707.26</v>
      </c>
      <c r="AX379">
        <v>2.21</v>
      </c>
      <c r="AY379">
        <v>2.19</v>
      </c>
      <c r="AZ379" t="s">
        <v>30</v>
      </c>
      <c r="BA379" t="s">
        <v>31</v>
      </c>
      <c r="BB379">
        <v>23707.26</v>
      </c>
      <c r="BC379">
        <v>23707.26</v>
      </c>
      <c r="BD379">
        <v>23707.26</v>
      </c>
      <c r="BE379">
        <v>23707.26</v>
      </c>
      <c r="BF379">
        <v>12880.51</v>
      </c>
      <c r="BG379">
        <v>4029.07</v>
      </c>
      <c r="BH379">
        <v>2792.04</v>
      </c>
      <c r="BI379">
        <v>6853.85</v>
      </c>
      <c r="BJ379">
        <v>1916.65</v>
      </c>
      <c r="BK379">
        <v>3623.82</v>
      </c>
      <c r="BL379">
        <v>3752.79</v>
      </c>
      <c r="BM379">
        <v>739.04</v>
      </c>
      <c r="BN379">
        <v>10345.85</v>
      </c>
      <c r="BP379" s="3">
        <v>45686</v>
      </c>
      <c r="BQ379">
        <v>10345.85</v>
      </c>
    </row>
    <row r="380" spans="1:71" x14ac:dyDescent="0.25">
      <c r="A380" t="s">
        <v>537</v>
      </c>
      <c r="B380" t="s">
        <v>544</v>
      </c>
      <c r="C380" s="2">
        <f>HYPERLINK("https://szao.dolgi.msk.ru/account/3470113775/", 3470113775)</f>
        <v>3470113775</v>
      </c>
      <c r="D380" t="s">
        <v>29</v>
      </c>
      <c r="E380">
        <v>91406.79</v>
      </c>
      <c r="AX380">
        <v>16.649999999999999</v>
      </c>
      <c r="AY380">
        <v>16.809999999999999</v>
      </c>
      <c r="AZ380" t="s">
        <v>40</v>
      </c>
      <c r="BA380" t="s">
        <v>36</v>
      </c>
      <c r="BB380">
        <v>91406.79</v>
      </c>
      <c r="BC380">
        <v>91406.79</v>
      </c>
      <c r="BD380">
        <v>91406.79</v>
      </c>
      <c r="BE380">
        <v>91406.79</v>
      </c>
      <c r="BF380">
        <v>85970.23</v>
      </c>
      <c r="BG380">
        <v>21473.67</v>
      </c>
      <c r="BH380">
        <v>5753.1</v>
      </c>
      <c r="BI380">
        <v>21044.58</v>
      </c>
      <c r="BJ380">
        <v>5717.91</v>
      </c>
      <c r="BK380">
        <v>8923.85</v>
      </c>
      <c r="BL380">
        <v>23760.33</v>
      </c>
      <c r="BM380">
        <v>4733.3500000000004</v>
      </c>
      <c r="BP380" s="3">
        <v>45647</v>
      </c>
      <c r="BQ380">
        <v>0</v>
      </c>
      <c r="BR380" s="3">
        <v>45538</v>
      </c>
      <c r="BS380" t="s">
        <v>545</v>
      </c>
    </row>
    <row r="381" spans="1:71" x14ac:dyDescent="0.25">
      <c r="A381" t="s">
        <v>537</v>
      </c>
      <c r="B381" t="s">
        <v>546</v>
      </c>
      <c r="C381" s="2">
        <f>HYPERLINK("https://szao.dolgi.msk.ru/account/3470114022/", 3470114022)</f>
        <v>3470114022</v>
      </c>
      <c r="D381" t="s">
        <v>29</v>
      </c>
      <c r="E381">
        <v>107645.23</v>
      </c>
      <c r="AX381">
        <v>33.18</v>
      </c>
      <c r="AY381">
        <v>26.98</v>
      </c>
      <c r="AZ381" t="s">
        <v>56</v>
      </c>
      <c r="BA381" t="s">
        <v>36</v>
      </c>
      <c r="BB381">
        <v>107645.23</v>
      </c>
      <c r="BC381">
        <v>107645.23</v>
      </c>
      <c r="BD381">
        <v>107645.23</v>
      </c>
      <c r="BE381">
        <v>107645.23</v>
      </c>
      <c r="BF381">
        <v>106298.95</v>
      </c>
      <c r="BG381">
        <v>51920.98</v>
      </c>
      <c r="BH381">
        <v>4593.46</v>
      </c>
      <c r="BI381">
        <v>163.13</v>
      </c>
      <c r="BJ381">
        <v>3230.86</v>
      </c>
      <c r="BK381">
        <v>2767.14</v>
      </c>
      <c r="BL381">
        <v>39008.089999999997</v>
      </c>
      <c r="BM381">
        <v>5961.57</v>
      </c>
      <c r="BO381">
        <v>2320.29</v>
      </c>
      <c r="BP381" s="3">
        <v>45691</v>
      </c>
      <c r="BQ381">
        <v>2320.29</v>
      </c>
      <c r="BR381" s="3">
        <v>45672</v>
      </c>
      <c r="BS381" t="s">
        <v>547</v>
      </c>
    </row>
    <row r="382" spans="1:71" x14ac:dyDescent="0.25">
      <c r="A382" t="s">
        <v>537</v>
      </c>
      <c r="B382" t="s">
        <v>548</v>
      </c>
      <c r="C382" s="2">
        <f>HYPERLINK("https://szao.dolgi.msk.ru/account/3470114372/", 3470114372)</f>
        <v>3470114372</v>
      </c>
      <c r="D382" t="s">
        <v>29</v>
      </c>
      <c r="E382">
        <v>264154.58</v>
      </c>
      <c r="AX382">
        <v>15.21</v>
      </c>
      <c r="AY382">
        <v>15.04</v>
      </c>
      <c r="AZ382" t="s">
        <v>56</v>
      </c>
      <c r="BA382" t="s">
        <v>36</v>
      </c>
      <c r="BB382">
        <v>264154.58</v>
      </c>
      <c r="BC382">
        <v>264154.58</v>
      </c>
      <c r="BD382">
        <v>264154.58</v>
      </c>
      <c r="BE382">
        <v>264154.58</v>
      </c>
      <c r="BF382">
        <v>246591.81</v>
      </c>
      <c r="BG382">
        <v>29109.06</v>
      </c>
      <c r="BH382">
        <v>28416.15</v>
      </c>
      <c r="BI382">
        <v>96985.87</v>
      </c>
      <c r="BJ382">
        <v>26300.37</v>
      </c>
      <c r="BK382">
        <v>45561.42</v>
      </c>
      <c r="BL382">
        <v>31628.76</v>
      </c>
      <c r="BM382">
        <v>6152.95</v>
      </c>
      <c r="BP382" s="3">
        <v>45114</v>
      </c>
      <c r="BQ382">
        <v>6397.33</v>
      </c>
      <c r="BR382" s="3">
        <v>45695</v>
      </c>
      <c r="BS382" t="s">
        <v>128</v>
      </c>
    </row>
    <row r="383" spans="1:71" x14ac:dyDescent="0.25">
      <c r="A383" t="s">
        <v>549</v>
      </c>
      <c r="B383" t="s">
        <v>550</v>
      </c>
      <c r="C383" s="2">
        <f>HYPERLINK("https://szao.dolgi.msk.ru/account/3470114997/", 3470114997)</f>
        <v>3470114997</v>
      </c>
      <c r="D383" t="s">
        <v>29</v>
      </c>
      <c r="E383">
        <v>807.51</v>
      </c>
      <c r="AX383">
        <v>2.78</v>
      </c>
      <c r="AY383">
        <v>0.1</v>
      </c>
      <c r="AZ383" t="s">
        <v>40</v>
      </c>
      <c r="BA383" t="s">
        <v>31</v>
      </c>
      <c r="BB383">
        <v>807.51</v>
      </c>
      <c r="BC383">
        <v>807.51</v>
      </c>
      <c r="BD383">
        <v>807.51</v>
      </c>
      <c r="BE383">
        <v>807.51</v>
      </c>
      <c r="BF383">
        <v>-7224.94</v>
      </c>
      <c r="BG383">
        <v>0</v>
      </c>
      <c r="BH383">
        <v>129.46</v>
      </c>
      <c r="BI383">
        <v>376.94</v>
      </c>
      <c r="BJ383">
        <v>118.8</v>
      </c>
      <c r="BK383">
        <v>182.31</v>
      </c>
      <c r="BL383">
        <v>0</v>
      </c>
      <c r="BM383">
        <v>0</v>
      </c>
      <c r="BN383">
        <v>1150.68</v>
      </c>
      <c r="BO383">
        <v>8032.45</v>
      </c>
      <c r="BP383" s="3">
        <v>45677</v>
      </c>
      <c r="BQ383">
        <v>1150.68</v>
      </c>
      <c r="BR383" s="3">
        <v>44644</v>
      </c>
      <c r="BS383" t="s">
        <v>551</v>
      </c>
    </row>
    <row r="384" spans="1:71" x14ac:dyDescent="0.25">
      <c r="A384" t="s">
        <v>549</v>
      </c>
      <c r="B384" t="s">
        <v>552</v>
      </c>
      <c r="C384" s="2">
        <f>HYPERLINK("https://szao.dolgi.msk.ru/account/3470115236/", 3470115236)</f>
        <v>3470115236</v>
      </c>
      <c r="D384" t="s">
        <v>29</v>
      </c>
      <c r="E384">
        <v>73734.89</v>
      </c>
      <c r="AX384">
        <v>12.85</v>
      </c>
      <c r="AY384">
        <v>12.72</v>
      </c>
      <c r="AZ384" t="s">
        <v>40</v>
      </c>
      <c r="BA384" t="s">
        <v>36</v>
      </c>
      <c r="BB384">
        <v>73734.89</v>
      </c>
      <c r="BC384">
        <v>73734.89</v>
      </c>
      <c r="BD384">
        <v>73734.89</v>
      </c>
      <c r="BE384">
        <v>73734.89</v>
      </c>
      <c r="BF384">
        <v>69833.81</v>
      </c>
      <c r="BG384">
        <v>19139.189999999999</v>
      </c>
      <c r="BH384">
        <v>5455.95</v>
      </c>
      <c r="BI384">
        <v>13753.07</v>
      </c>
      <c r="BJ384">
        <v>3744.6</v>
      </c>
      <c r="BK384">
        <v>7149.1</v>
      </c>
      <c r="BL384">
        <v>20618.91</v>
      </c>
      <c r="BM384">
        <v>3874.07</v>
      </c>
      <c r="BN384">
        <v>1893.77</v>
      </c>
      <c r="BP384" s="3">
        <v>45696</v>
      </c>
      <c r="BQ384">
        <v>1893.77</v>
      </c>
      <c r="BR384" s="3">
        <v>45672</v>
      </c>
      <c r="BS384" t="s">
        <v>553</v>
      </c>
    </row>
    <row r="385" spans="1:71" x14ac:dyDescent="0.25">
      <c r="A385" t="s">
        <v>549</v>
      </c>
      <c r="B385" t="s">
        <v>554</v>
      </c>
      <c r="C385" s="2">
        <f>HYPERLINK("https://szao.dolgi.msk.ru/account/3470114823/", 3470114823)</f>
        <v>3470114823</v>
      </c>
      <c r="D385" t="s">
        <v>29</v>
      </c>
      <c r="E385">
        <v>25240.720000000001</v>
      </c>
      <c r="AX385">
        <v>3.65</v>
      </c>
      <c r="AY385">
        <v>3.65</v>
      </c>
      <c r="AZ385" t="s">
        <v>69</v>
      </c>
      <c r="BA385" t="s">
        <v>49</v>
      </c>
      <c r="BB385">
        <v>25240.720000000001</v>
      </c>
      <c r="BC385">
        <v>25240.720000000001</v>
      </c>
      <c r="BD385">
        <v>25240.720000000001</v>
      </c>
      <c r="BE385">
        <v>25240.720000000001</v>
      </c>
      <c r="BF385">
        <v>18183.990000000002</v>
      </c>
      <c r="BG385">
        <v>7626.52</v>
      </c>
      <c r="BH385">
        <v>1375.4</v>
      </c>
      <c r="BI385">
        <v>4034.46</v>
      </c>
      <c r="BJ385">
        <v>1136.2</v>
      </c>
      <c r="BK385">
        <v>1928.22</v>
      </c>
      <c r="BL385">
        <v>7661.04</v>
      </c>
      <c r="BM385">
        <v>1478.88</v>
      </c>
      <c r="BP385" s="3">
        <v>45594</v>
      </c>
      <c r="BQ385">
        <v>12558.06</v>
      </c>
    </row>
    <row r="386" spans="1:71" x14ac:dyDescent="0.25">
      <c r="A386" t="s">
        <v>555</v>
      </c>
      <c r="B386" t="s">
        <v>139</v>
      </c>
      <c r="C386" s="2">
        <f>HYPERLINK("https://szao.dolgi.msk.ru/account/3470116829/", 3470116829)</f>
        <v>3470116829</v>
      </c>
      <c r="D386" t="s">
        <v>29</v>
      </c>
      <c r="E386">
        <v>381133.83</v>
      </c>
      <c r="AX386">
        <v>24.62</v>
      </c>
      <c r="AY386">
        <v>19.11</v>
      </c>
      <c r="AZ386" t="s">
        <v>56</v>
      </c>
      <c r="BA386" t="s">
        <v>36</v>
      </c>
      <c r="BB386">
        <v>381133.83</v>
      </c>
      <c r="BC386">
        <v>381133.83</v>
      </c>
      <c r="BD386">
        <v>385595.4</v>
      </c>
      <c r="BE386">
        <v>385595.4</v>
      </c>
      <c r="BF386">
        <v>361190.41</v>
      </c>
      <c r="BG386">
        <v>98299.68</v>
      </c>
      <c r="BH386">
        <v>-4461.57</v>
      </c>
      <c r="BI386">
        <v>71050.73</v>
      </c>
      <c r="BJ386">
        <v>26507.11</v>
      </c>
      <c r="BK386">
        <v>50756.11</v>
      </c>
      <c r="BL386">
        <v>119139.03</v>
      </c>
      <c r="BM386">
        <v>19842.740000000002</v>
      </c>
      <c r="BP386" s="3">
        <v>45596</v>
      </c>
      <c r="BQ386">
        <v>0</v>
      </c>
      <c r="BR386" s="3">
        <v>45569</v>
      </c>
      <c r="BS386" t="s">
        <v>556</v>
      </c>
    </row>
    <row r="387" spans="1:71" x14ac:dyDescent="0.25">
      <c r="A387" t="s">
        <v>555</v>
      </c>
      <c r="B387" t="s">
        <v>147</v>
      </c>
      <c r="C387" s="2">
        <f>HYPERLINK("https://szao.dolgi.msk.ru/account/3470116845/", 3470116845)</f>
        <v>3470116845</v>
      </c>
      <c r="D387" t="s">
        <v>29</v>
      </c>
      <c r="E387">
        <v>50855.38</v>
      </c>
      <c r="AX387">
        <v>2.77</v>
      </c>
      <c r="AY387">
        <v>2.77</v>
      </c>
      <c r="AZ387" t="s">
        <v>30</v>
      </c>
      <c r="BA387" t="s">
        <v>31</v>
      </c>
      <c r="BB387">
        <v>50855.38</v>
      </c>
      <c r="BC387">
        <v>50855.38</v>
      </c>
      <c r="BD387">
        <v>50855.38</v>
      </c>
      <c r="BE387">
        <v>50855.38</v>
      </c>
      <c r="BF387">
        <v>32483.68</v>
      </c>
      <c r="BG387">
        <v>5287</v>
      </c>
      <c r="BH387">
        <v>9111.2999999999993</v>
      </c>
      <c r="BI387">
        <v>16239.23</v>
      </c>
      <c r="BJ387">
        <v>4573.3</v>
      </c>
      <c r="BK387">
        <v>8642.5499999999993</v>
      </c>
      <c r="BL387">
        <v>5904.48</v>
      </c>
      <c r="BM387">
        <v>1097.52</v>
      </c>
      <c r="BP387" s="3">
        <v>45597</v>
      </c>
      <c r="BQ387">
        <v>41242.49</v>
      </c>
    </row>
    <row r="388" spans="1:71" x14ac:dyDescent="0.25">
      <c r="A388" t="s">
        <v>555</v>
      </c>
      <c r="B388" t="s">
        <v>165</v>
      </c>
      <c r="C388" s="2">
        <f>HYPERLINK("https://szao.dolgi.msk.ru/account/3470116087/", 3470116087)</f>
        <v>3470116087</v>
      </c>
      <c r="D388" t="s">
        <v>29</v>
      </c>
      <c r="E388">
        <v>31807.42</v>
      </c>
      <c r="AX388">
        <v>3.43</v>
      </c>
      <c r="AY388">
        <v>3.35</v>
      </c>
      <c r="AZ388" t="s">
        <v>40</v>
      </c>
      <c r="BA388" t="s">
        <v>49</v>
      </c>
      <c r="BB388">
        <v>31807.42</v>
      </c>
      <c r="BC388">
        <v>31807.42</v>
      </c>
      <c r="BD388">
        <v>31807.42</v>
      </c>
      <c r="BE388">
        <v>31807.42</v>
      </c>
      <c r="BF388">
        <v>22325.23</v>
      </c>
      <c r="BG388">
        <v>7172.36</v>
      </c>
      <c r="BH388">
        <v>1116.71</v>
      </c>
      <c r="BI388">
        <v>8060.42</v>
      </c>
      <c r="BJ388">
        <v>2270.02</v>
      </c>
      <c r="BK388">
        <v>2592.75</v>
      </c>
      <c r="BL388">
        <v>8934.36</v>
      </c>
      <c r="BM388">
        <v>1660.8</v>
      </c>
      <c r="BO388">
        <v>9482.19</v>
      </c>
      <c r="BP388" s="3">
        <v>45686</v>
      </c>
      <c r="BQ388">
        <v>9482.19</v>
      </c>
      <c r="BR388" s="3">
        <v>45082</v>
      </c>
      <c r="BS388" t="s">
        <v>557</v>
      </c>
    </row>
    <row r="389" spans="1:71" x14ac:dyDescent="0.25">
      <c r="A389" t="s">
        <v>555</v>
      </c>
      <c r="B389" t="s">
        <v>95</v>
      </c>
      <c r="C389" s="2">
        <f>HYPERLINK("https://szao.dolgi.msk.ru/account/3470116407/", 3470116407)</f>
        <v>3470116407</v>
      </c>
      <c r="D389" t="s">
        <v>29</v>
      </c>
      <c r="E389">
        <v>73656.31</v>
      </c>
      <c r="AX389">
        <v>10.5</v>
      </c>
      <c r="AY389">
        <v>10.43</v>
      </c>
      <c r="AZ389" t="s">
        <v>56</v>
      </c>
      <c r="BA389" t="s">
        <v>63</v>
      </c>
      <c r="BB389">
        <v>73656.31</v>
      </c>
      <c r="BC389">
        <v>73656.31</v>
      </c>
      <c r="BD389">
        <v>73656.31</v>
      </c>
      <c r="BE389">
        <v>73656.31</v>
      </c>
      <c r="BF389">
        <v>66592.98</v>
      </c>
      <c r="BG389">
        <v>19739.53</v>
      </c>
      <c r="BH389">
        <v>4430.8599999999997</v>
      </c>
      <c r="BI389">
        <v>11062.01</v>
      </c>
      <c r="BJ389">
        <v>3031.63</v>
      </c>
      <c r="BK389">
        <v>5785.06</v>
      </c>
      <c r="BL389">
        <v>24811.86</v>
      </c>
      <c r="BM389">
        <v>4795.3599999999997</v>
      </c>
      <c r="BP389" s="3">
        <v>45308</v>
      </c>
      <c r="BQ389">
        <v>3175.47</v>
      </c>
      <c r="BR389" s="3">
        <v>45502</v>
      </c>
      <c r="BS389" t="s">
        <v>558</v>
      </c>
    </row>
    <row r="390" spans="1:71" x14ac:dyDescent="0.25">
      <c r="A390" t="s">
        <v>555</v>
      </c>
      <c r="B390" t="s">
        <v>335</v>
      </c>
      <c r="C390" s="2">
        <f>HYPERLINK("https://szao.dolgi.msk.ru/account/3470116765/", 3470116765)</f>
        <v>3470116765</v>
      </c>
      <c r="D390" t="s">
        <v>29</v>
      </c>
      <c r="E390">
        <v>41745.31</v>
      </c>
      <c r="AX390">
        <v>6.59</v>
      </c>
      <c r="AY390">
        <v>6.44</v>
      </c>
      <c r="AZ390" t="s">
        <v>40</v>
      </c>
      <c r="BA390" t="s">
        <v>66</v>
      </c>
      <c r="BB390">
        <v>41745.31</v>
      </c>
      <c r="BC390">
        <v>41745.31</v>
      </c>
      <c r="BD390">
        <v>41745.31</v>
      </c>
      <c r="BE390">
        <v>41745.31</v>
      </c>
      <c r="BF390">
        <v>47194.83</v>
      </c>
      <c r="BG390">
        <v>15623.17</v>
      </c>
      <c r="BH390">
        <v>209.35</v>
      </c>
      <c r="BI390">
        <v>3224.14</v>
      </c>
      <c r="BJ390">
        <v>866.29</v>
      </c>
      <c r="BK390">
        <v>1218.8800000000001</v>
      </c>
      <c r="BL390">
        <v>16563.02</v>
      </c>
      <c r="BM390">
        <v>4040.46</v>
      </c>
      <c r="BN390">
        <v>12435.68</v>
      </c>
      <c r="BP390" s="3">
        <v>45692</v>
      </c>
      <c r="BQ390">
        <v>11930.83</v>
      </c>
      <c r="BR390" s="3">
        <v>45182</v>
      </c>
      <c r="BS390" t="s">
        <v>559</v>
      </c>
    </row>
    <row r="391" spans="1:71" x14ac:dyDescent="0.25">
      <c r="A391" t="s">
        <v>560</v>
      </c>
      <c r="B391" t="s">
        <v>227</v>
      </c>
      <c r="C391" s="2">
        <f>HYPERLINK("https://szao.dolgi.msk.ru/account/3470117477/", 3470117477)</f>
        <v>3470117477</v>
      </c>
      <c r="D391" t="s">
        <v>29</v>
      </c>
      <c r="E391">
        <v>313400.45</v>
      </c>
      <c r="AX391">
        <v>45.34</v>
      </c>
      <c r="AY391">
        <v>43.13</v>
      </c>
      <c r="AZ391" t="s">
        <v>40</v>
      </c>
      <c r="BA391" t="s">
        <v>36</v>
      </c>
      <c r="BB391">
        <v>313400.45</v>
      </c>
      <c r="BC391">
        <v>313400.45</v>
      </c>
      <c r="BD391">
        <v>313400.45</v>
      </c>
      <c r="BE391">
        <v>313400.45</v>
      </c>
      <c r="BF391">
        <v>306134.43</v>
      </c>
      <c r="BG391">
        <v>73297.67</v>
      </c>
      <c r="BH391">
        <v>42874.48</v>
      </c>
      <c r="BI391">
        <v>66424.960000000006</v>
      </c>
      <c r="BJ391">
        <v>16906.400000000001</v>
      </c>
      <c r="BK391">
        <v>21092.87</v>
      </c>
      <c r="BL391">
        <v>78921.59</v>
      </c>
      <c r="BM391">
        <v>13882.48</v>
      </c>
      <c r="BO391">
        <v>7266.02</v>
      </c>
      <c r="BP391" s="3">
        <v>45678</v>
      </c>
      <c r="BQ391">
        <v>7266.02</v>
      </c>
      <c r="BR391" s="3">
        <v>45504</v>
      </c>
      <c r="BS391" t="s">
        <v>561</v>
      </c>
    </row>
    <row r="392" spans="1:71" x14ac:dyDescent="0.25">
      <c r="A392" t="s">
        <v>560</v>
      </c>
      <c r="B392" t="s">
        <v>284</v>
      </c>
      <c r="C392" s="2">
        <f>HYPERLINK("https://szao.dolgi.msk.ru/account/3470117696/", 3470117696)</f>
        <v>3470117696</v>
      </c>
      <c r="D392" t="s">
        <v>29</v>
      </c>
      <c r="E392">
        <v>65492.4</v>
      </c>
      <c r="AX392">
        <v>5.69</v>
      </c>
      <c r="AY392">
        <v>5.21</v>
      </c>
      <c r="AZ392" t="s">
        <v>40</v>
      </c>
      <c r="BA392" t="s">
        <v>49</v>
      </c>
      <c r="BB392">
        <v>65492.4</v>
      </c>
      <c r="BC392">
        <v>65492.4</v>
      </c>
      <c r="BD392">
        <v>65492.4</v>
      </c>
      <c r="BE392">
        <v>65492.4</v>
      </c>
      <c r="BF392">
        <v>52922.69</v>
      </c>
      <c r="BG392">
        <v>13759.12</v>
      </c>
      <c r="BH392">
        <v>6908.82</v>
      </c>
      <c r="BI392">
        <v>15839.8</v>
      </c>
      <c r="BJ392">
        <v>4461.95</v>
      </c>
      <c r="BK392">
        <v>8604.67</v>
      </c>
      <c r="BL392">
        <v>13126.24</v>
      </c>
      <c r="BM392">
        <v>2791.8</v>
      </c>
      <c r="BN392">
        <v>11916.91</v>
      </c>
      <c r="BP392" s="3">
        <v>45685</v>
      </c>
      <c r="BQ392">
        <v>11916.91</v>
      </c>
      <c r="BR392" s="3">
        <v>45510</v>
      </c>
      <c r="BS392" t="s">
        <v>562</v>
      </c>
    </row>
    <row r="393" spans="1:71" x14ac:dyDescent="0.25">
      <c r="A393" t="s">
        <v>560</v>
      </c>
      <c r="B393" t="s">
        <v>203</v>
      </c>
      <c r="C393" s="2">
        <f>HYPERLINK("https://szao.dolgi.msk.ru/account/3470117856/", 3470117856)</f>
        <v>3470117856</v>
      </c>
      <c r="D393" t="s">
        <v>29</v>
      </c>
      <c r="E393">
        <v>339081.87</v>
      </c>
      <c r="AX393">
        <v>21.28</v>
      </c>
      <c r="AY393">
        <v>17.95</v>
      </c>
      <c r="AZ393" t="s">
        <v>45</v>
      </c>
      <c r="BA393" t="s">
        <v>36</v>
      </c>
      <c r="BB393">
        <v>339081.87</v>
      </c>
      <c r="BC393">
        <v>339081.87</v>
      </c>
      <c r="BD393">
        <v>339081.87</v>
      </c>
      <c r="BE393">
        <v>339081.87</v>
      </c>
      <c r="BF393">
        <v>320194.43</v>
      </c>
      <c r="BG393">
        <v>52111.81</v>
      </c>
      <c r="BH393">
        <v>36979.49</v>
      </c>
      <c r="BI393">
        <v>103454.5</v>
      </c>
      <c r="BJ393">
        <v>26923.67</v>
      </c>
      <c r="BK393">
        <v>49306</v>
      </c>
      <c r="BL393">
        <v>58917.82</v>
      </c>
      <c r="BM393">
        <v>11388.58</v>
      </c>
      <c r="BP393" s="3">
        <v>45471</v>
      </c>
      <c r="BQ393">
        <v>30003.37</v>
      </c>
      <c r="BR393" s="3">
        <v>45672</v>
      </c>
      <c r="BS393" t="s">
        <v>563</v>
      </c>
    </row>
    <row r="394" spans="1:71" x14ac:dyDescent="0.25">
      <c r="A394" t="s">
        <v>560</v>
      </c>
      <c r="B394" t="s">
        <v>554</v>
      </c>
      <c r="C394" s="2">
        <f>HYPERLINK("https://szao.dolgi.msk.ru/account/3470116968/", 3470116968)</f>
        <v>3470116968</v>
      </c>
      <c r="D394" t="s">
        <v>29</v>
      </c>
      <c r="E394">
        <v>17562.91</v>
      </c>
      <c r="AX394">
        <v>2.02</v>
      </c>
      <c r="AY394">
        <v>2.0499999999999998</v>
      </c>
      <c r="AZ394" t="s">
        <v>40</v>
      </c>
      <c r="BA394" t="s">
        <v>31</v>
      </c>
      <c r="BB394">
        <v>17562.91</v>
      </c>
      <c r="BC394">
        <v>17562.91</v>
      </c>
      <c r="BD394">
        <v>17562.91</v>
      </c>
      <c r="BE394">
        <v>17562.91</v>
      </c>
      <c r="BF394">
        <v>9012.9500000000007</v>
      </c>
      <c r="BG394">
        <v>4209.09</v>
      </c>
      <c r="BH394">
        <v>1309.72</v>
      </c>
      <c r="BI394">
        <v>3808.18</v>
      </c>
      <c r="BJ394">
        <v>1072.47</v>
      </c>
      <c r="BK394">
        <v>1828.87</v>
      </c>
      <c r="BL394">
        <v>4573.1400000000003</v>
      </c>
      <c r="BM394">
        <v>761.44</v>
      </c>
      <c r="BP394" s="3">
        <v>45628</v>
      </c>
      <c r="BQ394">
        <v>6283.51</v>
      </c>
    </row>
    <row r="395" spans="1:71" x14ac:dyDescent="0.25">
      <c r="A395" t="s">
        <v>564</v>
      </c>
      <c r="B395" t="s">
        <v>152</v>
      </c>
      <c r="C395" s="2">
        <f>HYPERLINK("https://szao.dolgi.msk.ru/account/3470465463/", 3470465463)</f>
        <v>3470465463</v>
      </c>
      <c r="D395" t="s">
        <v>29</v>
      </c>
      <c r="E395">
        <v>14013.21</v>
      </c>
      <c r="AX395">
        <v>4.2</v>
      </c>
      <c r="AY395">
        <v>4.01</v>
      </c>
      <c r="AZ395" t="s">
        <v>40</v>
      </c>
      <c r="BA395" t="s">
        <v>49</v>
      </c>
      <c r="BB395">
        <v>14013.21</v>
      </c>
      <c r="BC395">
        <v>14013.21</v>
      </c>
      <c r="BD395">
        <v>14013.21</v>
      </c>
      <c r="BE395">
        <v>14013.21</v>
      </c>
      <c r="BF395">
        <v>10517.76</v>
      </c>
      <c r="BG395">
        <v>4553.8599999999997</v>
      </c>
      <c r="BH395">
        <v>677.01</v>
      </c>
      <c r="BI395">
        <v>1132.48</v>
      </c>
      <c r="BJ395">
        <v>427.71</v>
      </c>
      <c r="BK395">
        <v>770.22</v>
      </c>
      <c r="BL395">
        <v>5419.99</v>
      </c>
      <c r="BM395">
        <v>1031.94</v>
      </c>
      <c r="BP395" s="3">
        <v>45622</v>
      </c>
      <c r="BQ395">
        <v>3096.85</v>
      </c>
      <c r="BR395" s="3">
        <v>45190</v>
      </c>
      <c r="BS395" t="s">
        <v>565</v>
      </c>
    </row>
    <row r="396" spans="1:71" x14ac:dyDescent="0.25">
      <c r="A396" t="s">
        <v>564</v>
      </c>
      <c r="B396" t="s">
        <v>280</v>
      </c>
      <c r="C396" s="2">
        <f>HYPERLINK("https://szao.dolgi.msk.ru/account/3470309057/", 3470309057)</f>
        <v>3470309057</v>
      </c>
      <c r="D396" t="s">
        <v>29</v>
      </c>
      <c r="E396">
        <v>59540.160000000003</v>
      </c>
      <c r="AX396">
        <v>7.14</v>
      </c>
      <c r="AY396">
        <v>7.41</v>
      </c>
      <c r="AZ396" t="s">
        <v>45</v>
      </c>
      <c r="BA396" t="s">
        <v>66</v>
      </c>
      <c r="BB396">
        <v>59540.160000000003</v>
      </c>
      <c r="BC396">
        <v>59540.160000000003</v>
      </c>
      <c r="BD396">
        <v>59540.160000000003</v>
      </c>
      <c r="BE396">
        <v>59540.160000000003</v>
      </c>
      <c r="BF396">
        <v>51896.25</v>
      </c>
      <c r="BG396">
        <v>19630</v>
      </c>
      <c r="BH396">
        <v>2820.76</v>
      </c>
      <c r="BI396">
        <v>6901.62</v>
      </c>
      <c r="BJ396">
        <v>1919.38</v>
      </c>
      <c r="BK396">
        <v>3652.29</v>
      </c>
      <c r="BL396">
        <v>20967.990000000002</v>
      </c>
      <c r="BM396">
        <v>3648.12</v>
      </c>
      <c r="BP396" s="3">
        <v>45497</v>
      </c>
      <c r="BQ396">
        <v>10484.66</v>
      </c>
      <c r="BR396" s="3">
        <v>44734</v>
      </c>
      <c r="BS396" t="s">
        <v>566</v>
      </c>
    </row>
    <row r="397" spans="1:71" x14ac:dyDescent="0.25">
      <c r="A397" t="s">
        <v>564</v>
      </c>
      <c r="B397" t="s">
        <v>335</v>
      </c>
      <c r="C397" s="2">
        <f>HYPERLINK("https://szao.dolgi.msk.ru/account/3470309145/", 3470309145)</f>
        <v>3470309145</v>
      </c>
      <c r="D397" t="s">
        <v>29</v>
      </c>
      <c r="E397">
        <v>49291</v>
      </c>
      <c r="AX397">
        <v>3.41</v>
      </c>
      <c r="AY397">
        <v>3.5</v>
      </c>
      <c r="AZ397" t="s">
        <v>30</v>
      </c>
      <c r="BA397" t="s">
        <v>49</v>
      </c>
      <c r="BB397">
        <v>49291</v>
      </c>
      <c r="BC397">
        <v>49291</v>
      </c>
      <c r="BD397">
        <v>49291</v>
      </c>
      <c r="BE397">
        <v>49291</v>
      </c>
      <c r="BF397">
        <v>36875.81</v>
      </c>
      <c r="BG397">
        <v>9161.52</v>
      </c>
      <c r="BH397">
        <v>6669.47</v>
      </c>
      <c r="BI397">
        <v>11291.55</v>
      </c>
      <c r="BJ397">
        <v>3294.11</v>
      </c>
      <c r="BK397">
        <v>6149.01</v>
      </c>
      <c r="BL397">
        <v>11041.82</v>
      </c>
      <c r="BM397">
        <v>1683.52</v>
      </c>
      <c r="BP397" s="3">
        <v>45629</v>
      </c>
      <c r="BQ397">
        <v>25967.34</v>
      </c>
    </row>
    <row r="398" spans="1:71" x14ac:dyDescent="0.25">
      <c r="A398" t="s">
        <v>564</v>
      </c>
      <c r="B398" t="s">
        <v>39</v>
      </c>
      <c r="C398" s="2">
        <f>HYPERLINK("https://szao.dolgi.msk.ru/account/3470444312/", 3470444312)</f>
        <v>3470444312</v>
      </c>
      <c r="D398" t="s">
        <v>29</v>
      </c>
      <c r="E398">
        <v>9421.68</v>
      </c>
      <c r="AX398">
        <v>3.81</v>
      </c>
      <c r="AY398">
        <v>4.1900000000000004</v>
      </c>
      <c r="AZ398" t="s">
        <v>69</v>
      </c>
      <c r="BA398" t="s">
        <v>49</v>
      </c>
      <c r="BB398">
        <v>9421.68</v>
      </c>
      <c r="BC398">
        <v>9421.68</v>
      </c>
      <c r="BD398">
        <v>9421.68</v>
      </c>
      <c r="BE398">
        <v>9421.68</v>
      </c>
      <c r="BF398">
        <v>6996.06</v>
      </c>
      <c r="BG398">
        <v>2993.28</v>
      </c>
      <c r="BH398">
        <v>866.52</v>
      </c>
      <c r="BI398">
        <v>920.07</v>
      </c>
      <c r="BJ398">
        <v>265.83</v>
      </c>
      <c r="BK398">
        <v>942.38</v>
      </c>
      <c r="BL398">
        <v>2835.4</v>
      </c>
      <c r="BM398">
        <v>598.20000000000005</v>
      </c>
      <c r="BP398" s="3">
        <v>45552</v>
      </c>
      <c r="BQ398">
        <v>941.8</v>
      </c>
      <c r="BR398" s="3">
        <v>45496</v>
      </c>
      <c r="BS398" t="s">
        <v>567</v>
      </c>
    </row>
    <row r="399" spans="1:71" x14ac:dyDescent="0.25">
      <c r="A399" t="s">
        <v>564</v>
      </c>
      <c r="B399" t="s">
        <v>92</v>
      </c>
      <c r="C399" s="2">
        <f>HYPERLINK("https://szao.dolgi.msk.ru/account/3470105791/", 3470105791)</f>
        <v>3470105791</v>
      </c>
      <c r="D399" t="s">
        <v>29</v>
      </c>
      <c r="E399">
        <v>61804.13</v>
      </c>
      <c r="AX399">
        <v>4.79</v>
      </c>
      <c r="AY399">
        <v>5.73</v>
      </c>
      <c r="AZ399" t="s">
        <v>35</v>
      </c>
      <c r="BA399" t="s">
        <v>49</v>
      </c>
      <c r="BB399">
        <v>61804.13</v>
      </c>
      <c r="BC399">
        <v>61804.13</v>
      </c>
      <c r="BD399">
        <v>61804.13</v>
      </c>
      <c r="BE399">
        <v>61804.13</v>
      </c>
      <c r="BF399">
        <v>61804.13</v>
      </c>
      <c r="BG399">
        <v>10533.6</v>
      </c>
      <c r="BH399">
        <v>11567.77</v>
      </c>
      <c r="BI399">
        <v>8162.26</v>
      </c>
      <c r="BJ399">
        <v>2073.71</v>
      </c>
      <c r="BK399">
        <v>9497.14</v>
      </c>
      <c r="BL399">
        <v>17071.82</v>
      </c>
      <c r="BM399">
        <v>2897.83</v>
      </c>
      <c r="BO399">
        <v>10788.01</v>
      </c>
      <c r="BP399" s="3">
        <v>45698</v>
      </c>
      <c r="BQ399">
        <v>10788.01</v>
      </c>
      <c r="BR399" s="3">
        <v>45169</v>
      </c>
      <c r="BS399" t="s">
        <v>61</v>
      </c>
    </row>
    <row r="400" spans="1:71" x14ac:dyDescent="0.25">
      <c r="A400" t="s">
        <v>564</v>
      </c>
      <c r="B400" t="s">
        <v>568</v>
      </c>
      <c r="C400" s="2">
        <f>HYPERLINK("https://szao.dolgi.msk.ru/account/3470105978/", 3470105978)</f>
        <v>3470105978</v>
      </c>
      <c r="D400" t="s">
        <v>29</v>
      </c>
      <c r="E400">
        <v>30690.81</v>
      </c>
      <c r="AX400">
        <v>3.19</v>
      </c>
      <c r="AY400">
        <v>3.36</v>
      </c>
      <c r="AZ400" t="s">
        <v>30</v>
      </c>
      <c r="BA400" t="s">
        <v>49</v>
      </c>
      <c r="BB400">
        <v>30690.81</v>
      </c>
      <c r="BC400">
        <v>30690.81</v>
      </c>
      <c r="BD400">
        <v>30690.81</v>
      </c>
      <c r="BE400">
        <v>30690.81</v>
      </c>
      <c r="BF400">
        <v>21545.26</v>
      </c>
      <c r="BG400">
        <v>7264.07</v>
      </c>
      <c r="BH400">
        <v>1529.31</v>
      </c>
      <c r="BI400">
        <v>6649.84</v>
      </c>
      <c r="BJ400">
        <v>1872.75</v>
      </c>
      <c r="BK400">
        <v>2634.81</v>
      </c>
      <c r="BL400">
        <v>9357.99</v>
      </c>
      <c r="BM400">
        <v>1382.04</v>
      </c>
      <c r="BP400" s="3">
        <v>45629</v>
      </c>
      <c r="BQ400">
        <v>11557.69</v>
      </c>
      <c r="BR400" s="3">
        <v>45590</v>
      </c>
      <c r="BS400" t="s">
        <v>569</v>
      </c>
    </row>
    <row r="401" spans="1:71" x14ac:dyDescent="0.25">
      <c r="A401" t="s">
        <v>570</v>
      </c>
      <c r="B401" t="s">
        <v>152</v>
      </c>
      <c r="C401" s="2">
        <f>HYPERLINK("https://szao.dolgi.msk.ru/account/3470106129/", 3470106129)</f>
        <v>3470106129</v>
      </c>
      <c r="D401" t="s">
        <v>29</v>
      </c>
      <c r="E401">
        <v>10831.12</v>
      </c>
      <c r="AX401">
        <v>2.93</v>
      </c>
      <c r="AY401">
        <v>1.6</v>
      </c>
      <c r="AZ401" t="s">
        <v>40</v>
      </c>
      <c r="BA401" t="s">
        <v>31</v>
      </c>
      <c r="BB401">
        <v>10831.12</v>
      </c>
      <c r="BC401">
        <v>10831.12</v>
      </c>
      <c r="BD401">
        <v>13799.42</v>
      </c>
      <c r="BE401">
        <v>13799.42</v>
      </c>
      <c r="BF401">
        <v>4848.1000000000004</v>
      </c>
      <c r="BG401">
        <v>9152.73</v>
      </c>
      <c r="BH401">
        <v>-2968.3</v>
      </c>
      <c r="BI401">
        <v>953.27</v>
      </c>
      <c r="BJ401">
        <v>11.11</v>
      </c>
      <c r="BK401">
        <v>218.78</v>
      </c>
      <c r="BL401">
        <v>1645.57</v>
      </c>
      <c r="BM401">
        <v>1817.96</v>
      </c>
      <c r="BO401">
        <v>6467.48</v>
      </c>
      <c r="BP401" s="3">
        <v>45677</v>
      </c>
      <c r="BQ401">
        <v>6467.48</v>
      </c>
      <c r="BR401" s="3">
        <v>45567</v>
      </c>
      <c r="BS401" t="s">
        <v>571</v>
      </c>
    </row>
    <row r="402" spans="1:71" x14ac:dyDescent="0.25">
      <c r="A402" t="s">
        <v>570</v>
      </c>
      <c r="B402" t="s">
        <v>287</v>
      </c>
      <c r="C402" s="2">
        <f>HYPERLINK("https://szao.dolgi.msk.ru/account/3470305208/", 3470305208)</f>
        <v>3470305208</v>
      </c>
      <c r="D402" t="s">
        <v>29</v>
      </c>
      <c r="E402">
        <v>7141.26</v>
      </c>
      <c r="AX402">
        <v>3.04</v>
      </c>
      <c r="AY402">
        <v>2.62</v>
      </c>
      <c r="AZ402" t="s">
        <v>40</v>
      </c>
      <c r="BA402" t="s">
        <v>49</v>
      </c>
      <c r="BB402">
        <v>7141.26</v>
      </c>
      <c r="BC402">
        <v>7141.26</v>
      </c>
      <c r="BD402">
        <v>10512.72</v>
      </c>
      <c r="BE402">
        <v>10512.72</v>
      </c>
      <c r="BF402">
        <v>4413.59</v>
      </c>
      <c r="BG402">
        <v>4764.12</v>
      </c>
      <c r="BH402">
        <v>-729.88</v>
      </c>
      <c r="BI402">
        <v>-1419.48</v>
      </c>
      <c r="BJ402">
        <v>-373</v>
      </c>
      <c r="BK402">
        <v>-849.1</v>
      </c>
      <c r="BL402">
        <v>4758.68</v>
      </c>
      <c r="BM402">
        <v>989.92</v>
      </c>
      <c r="BN402">
        <v>6907.46</v>
      </c>
      <c r="BO402">
        <v>2727.67</v>
      </c>
      <c r="BP402" s="3">
        <v>45674</v>
      </c>
      <c r="BQ402">
        <v>4611.72</v>
      </c>
      <c r="BR402" s="3">
        <v>44776</v>
      </c>
      <c r="BS402" t="s">
        <v>572</v>
      </c>
    </row>
    <row r="403" spans="1:71" x14ac:dyDescent="0.25">
      <c r="A403" t="s">
        <v>570</v>
      </c>
      <c r="B403" t="s">
        <v>223</v>
      </c>
      <c r="C403" s="2">
        <f>HYPERLINK("https://szao.dolgi.msk.ru/account/3470106567/", 3470106567)</f>
        <v>3470106567</v>
      </c>
      <c r="D403" t="s">
        <v>29</v>
      </c>
      <c r="E403">
        <v>40463.370000000003</v>
      </c>
      <c r="AX403">
        <v>3.32</v>
      </c>
      <c r="AY403">
        <v>3.42</v>
      </c>
      <c r="AZ403" t="s">
        <v>30</v>
      </c>
      <c r="BA403" t="s">
        <v>49</v>
      </c>
      <c r="BB403">
        <v>40463.370000000003</v>
      </c>
      <c r="BC403">
        <v>40463.370000000003</v>
      </c>
      <c r="BD403">
        <v>40463.370000000003</v>
      </c>
      <c r="BE403">
        <v>40463.370000000003</v>
      </c>
      <c r="BF403">
        <v>28640.720000000001</v>
      </c>
      <c r="BG403">
        <v>14957.32</v>
      </c>
      <c r="BH403">
        <v>3721.09</v>
      </c>
      <c r="BI403">
        <v>2152.41</v>
      </c>
      <c r="BJ403">
        <v>606.16999999999996</v>
      </c>
      <c r="BK403">
        <v>4000.5</v>
      </c>
      <c r="BL403">
        <v>12653.77</v>
      </c>
      <c r="BM403">
        <v>2372.11</v>
      </c>
      <c r="BP403" s="3">
        <v>45651</v>
      </c>
      <c r="BQ403">
        <v>19674.3</v>
      </c>
      <c r="BR403" s="3">
        <v>44867</v>
      </c>
      <c r="BS403" t="s">
        <v>573</v>
      </c>
    </row>
    <row r="404" spans="1:71" x14ac:dyDescent="0.25">
      <c r="A404" t="s">
        <v>570</v>
      </c>
      <c r="B404" t="s">
        <v>552</v>
      </c>
      <c r="C404" s="2">
        <f>HYPERLINK("https://szao.dolgi.msk.ru/account/3470106727/", 3470106727)</f>
        <v>3470106727</v>
      </c>
      <c r="D404" t="s">
        <v>29</v>
      </c>
      <c r="E404">
        <v>26039.46</v>
      </c>
      <c r="AX404">
        <v>2.0299999999999998</v>
      </c>
      <c r="AY404">
        <v>2.0099999999999998</v>
      </c>
      <c r="AZ404" t="s">
        <v>40</v>
      </c>
      <c r="BA404" t="s">
        <v>31</v>
      </c>
      <c r="BB404">
        <v>26039.46</v>
      </c>
      <c r="BC404">
        <v>26039.46</v>
      </c>
      <c r="BD404">
        <v>26039.46</v>
      </c>
      <c r="BE404">
        <v>26039.46</v>
      </c>
      <c r="BF404">
        <v>13092.01</v>
      </c>
      <c r="BG404">
        <v>10949.95</v>
      </c>
      <c r="BH404">
        <v>926.14</v>
      </c>
      <c r="BI404">
        <v>1987.05</v>
      </c>
      <c r="BJ404">
        <v>558.74</v>
      </c>
      <c r="BK404">
        <v>1140.81</v>
      </c>
      <c r="BL404">
        <v>8662.82</v>
      </c>
      <c r="BM404">
        <v>1813.95</v>
      </c>
      <c r="BP404" s="3">
        <v>45653</v>
      </c>
      <c r="BQ404">
        <v>10485.76</v>
      </c>
      <c r="BR404" s="3">
        <v>45510</v>
      </c>
      <c r="BS404" t="s">
        <v>574</v>
      </c>
    </row>
    <row r="405" spans="1:71" x14ac:dyDescent="0.25">
      <c r="A405" t="s">
        <v>570</v>
      </c>
      <c r="B405" t="s">
        <v>88</v>
      </c>
      <c r="C405" s="2">
        <f>HYPERLINK("https://szao.dolgi.msk.ru/account/3470305275/", 3470305275)</f>
        <v>3470305275</v>
      </c>
      <c r="D405" t="s">
        <v>29</v>
      </c>
      <c r="E405">
        <v>18353.46</v>
      </c>
      <c r="AX405">
        <v>4.1500000000000004</v>
      </c>
      <c r="AY405">
        <v>3.4</v>
      </c>
      <c r="AZ405" t="s">
        <v>35</v>
      </c>
      <c r="BA405" t="s">
        <v>49</v>
      </c>
      <c r="BB405">
        <v>18353.46</v>
      </c>
      <c r="BC405">
        <v>18353.46</v>
      </c>
      <c r="BD405">
        <v>20167.96</v>
      </c>
      <c r="BE405">
        <v>20167.96</v>
      </c>
      <c r="BF405">
        <v>12947.69</v>
      </c>
      <c r="BG405">
        <v>10884.18</v>
      </c>
      <c r="BH405">
        <v>-359.01</v>
      </c>
      <c r="BI405">
        <v>-895.03</v>
      </c>
      <c r="BJ405">
        <v>-165.95</v>
      </c>
      <c r="BK405">
        <v>-394.51</v>
      </c>
      <c r="BL405">
        <v>7698.91</v>
      </c>
      <c r="BM405">
        <v>1584.87</v>
      </c>
      <c r="BN405">
        <v>4569.74</v>
      </c>
      <c r="BP405" s="3">
        <v>45671</v>
      </c>
      <c r="BQ405">
        <v>4569.74</v>
      </c>
      <c r="BR405" s="3">
        <v>44510</v>
      </c>
      <c r="BS405" t="s">
        <v>575</v>
      </c>
    </row>
    <row r="406" spans="1:71" x14ac:dyDescent="0.25">
      <c r="A406" t="s">
        <v>570</v>
      </c>
      <c r="B406" t="s">
        <v>366</v>
      </c>
      <c r="C406" s="2">
        <f>HYPERLINK("https://szao.dolgi.msk.ru/account/3470305531/", 3470305531)</f>
        <v>3470305531</v>
      </c>
      <c r="D406" t="s">
        <v>29</v>
      </c>
      <c r="E406">
        <v>36999.94</v>
      </c>
      <c r="AX406">
        <v>6.71</v>
      </c>
      <c r="AY406">
        <v>6.61</v>
      </c>
      <c r="AZ406" t="s">
        <v>40</v>
      </c>
      <c r="BA406" t="s">
        <v>66</v>
      </c>
      <c r="BB406">
        <v>36999.94</v>
      </c>
      <c r="BC406">
        <v>36999.94</v>
      </c>
      <c r="BD406">
        <v>37146.26</v>
      </c>
      <c r="BE406">
        <v>37146.26</v>
      </c>
      <c r="BF406">
        <v>31413.48</v>
      </c>
      <c r="BG406">
        <v>15389.87</v>
      </c>
      <c r="BH406">
        <v>-146.32</v>
      </c>
      <c r="BI406">
        <v>3545.24</v>
      </c>
      <c r="BJ406">
        <v>181.07</v>
      </c>
      <c r="BK406">
        <v>174</v>
      </c>
      <c r="BL406">
        <v>14934.59</v>
      </c>
      <c r="BM406">
        <v>2921.49</v>
      </c>
      <c r="BN406">
        <v>10.09</v>
      </c>
      <c r="BP406" s="3">
        <v>45690</v>
      </c>
      <c r="BQ406">
        <v>10.09</v>
      </c>
    </row>
    <row r="407" spans="1:71" x14ac:dyDescent="0.25">
      <c r="A407" t="s">
        <v>576</v>
      </c>
      <c r="B407" t="s">
        <v>139</v>
      </c>
      <c r="C407" s="2">
        <f>HYPERLINK("https://szao.dolgi.msk.ru/account/3470596471/", 3470596471)</f>
        <v>3470596471</v>
      </c>
      <c r="D407" t="s">
        <v>29</v>
      </c>
      <c r="E407">
        <v>20558.740000000002</v>
      </c>
      <c r="AX407">
        <v>2.62</v>
      </c>
      <c r="AY407">
        <v>2.59</v>
      </c>
      <c r="AZ407" t="s">
        <v>40</v>
      </c>
      <c r="BA407" t="s">
        <v>31</v>
      </c>
      <c r="BB407">
        <v>20558.740000000002</v>
      </c>
      <c r="BC407">
        <v>20558.740000000002</v>
      </c>
      <c r="BD407">
        <v>20558.740000000002</v>
      </c>
      <c r="BE407">
        <v>20558.740000000002</v>
      </c>
      <c r="BF407">
        <v>12630.89</v>
      </c>
      <c r="BG407">
        <v>5118.4799999999996</v>
      </c>
      <c r="BH407">
        <v>1569.73</v>
      </c>
      <c r="BI407">
        <v>2701.38</v>
      </c>
      <c r="BJ407">
        <v>760.77</v>
      </c>
      <c r="BK407">
        <v>1789.18</v>
      </c>
      <c r="BL407">
        <v>7305.97</v>
      </c>
      <c r="BM407">
        <v>1313.23</v>
      </c>
      <c r="BP407" s="3">
        <v>45630</v>
      </c>
      <c r="BQ407">
        <v>29726.95</v>
      </c>
      <c r="BR407" s="3">
        <v>45283</v>
      </c>
      <c r="BS407" t="s">
        <v>577</v>
      </c>
    </row>
    <row r="408" spans="1:71" x14ac:dyDescent="0.25">
      <c r="A408" t="s">
        <v>576</v>
      </c>
      <c r="B408" t="s">
        <v>279</v>
      </c>
      <c r="C408" s="2">
        <f>HYPERLINK("https://szao.dolgi.msk.ru/account/3470319124/", 3470319124)</f>
        <v>3470319124</v>
      </c>
      <c r="D408" t="s">
        <v>29</v>
      </c>
      <c r="E408">
        <v>17823.830000000002</v>
      </c>
      <c r="AX408">
        <v>3.82</v>
      </c>
      <c r="AY408">
        <v>3.46</v>
      </c>
      <c r="AZ408" t="s">
        <v>69</v>
      </c>
      <c r="BA408" t="s">
        <v>49</v>
      </c>
      <c r="BB408">
        <v>17823.830000000002</v>
      </c>
      <c r="BC408">
        <v>17823.830000000002</v>
      </c>
      <c r="BD408">
        <v>17823.830000000002</v>
      </c>
      <c r="BE408">
        <v>17823.830000000002</v>
      </c>
      <c r="BF408">
        <v>12673.03</v>
      </c>
      <c r="BG408">
        <v>3738.43</v>
      </c>
      <c r="BH408">
        <v>1040.52</v>
      </c>
      <c r="BI408">
        <v>3822.12</v>
      </c>
      <c r="BJ408">
        <v>1076.4000000000001</v>
      </c>
      <c r="BK408">
        <v>1625.21</v>
      </c>
      <c r="BL408">
        <v>5527.6</v>
      </c>
      <c r="BM408">
        <v>993.55</v>
      </c>
      <c r="BP408" s="3">
        <v>45579</v>
      </c>
      <c r="BQ408">
        <v>13193.75</v>
      </c>
      <c r="BR408" s="3">
        <v>45481</v>
      </c>
      <c r="BS408" t="s">
        <v>578</v>
      </c>
    </row>
    <row r="409" spans="1:71" x14ac:dyDescent="0.25">
      <c r="A409" t="s">
        <v>576</v>
      </c>
      <c r="B409" t="s">
        <v>374</v>
      </c>
      <c r="C409" s="2">
        <f>HYPERLINK("https://szao.dolgi.msk.ru/account/3470119288/", 3470119288)</f>
        <v>3470119288</v>
      </c>
      <c r="D409" t="s">
        <v>29</v>
      </c>
      <c r="E409">
        <v>10986.42</v>
      </c>
      <c r="AX409">
        <v>2.15</v>
      </c>
      <c r="AY409">
        <v>2.27</v>
      </c>
      <c r="AZ409" t="s">
        <v>40</v>
      </c>
      <c r="BA409" t="s">
        <v>31</v>
      </c>
      <c r="BB409">
        <v>10986.42</v>
      </c>
      <c r="BC409">
        <v>10986.42</v>
      </c>
      <c r="BD409">
        <v>10986.42</v>
      </c>
      <c r="BE409">
        <v>10986.42</v>
      </c>
      <c r="BF409">
        <v>6153.7</v>
      </c>
      <c r="BG409">
        <v>3470.31</v>
      </c>
      <c r="BH409">
        <v>355.82</v>
      </c>
      <c r="BI409">
        <v>882.1</v>
      </c>
      <c r="BJ409">
        <v>248.42</v>
      </c>
      <c r="BK409">
        <v>463.89</v>
      </c>
      <c r="BL409">
        <v>4717.8599999999997</v>
      </c>
      <c r="BM409">
        <v>848.02</v>
      </c>
      <c r="BP409" s="3">
        <v>45632</v>
      </c>
      <c r="BQ409">
        <v>5772.3</v>
      </c>
    </row>
    <row r="410" spans="1:71" x14ac:dyDescent="0.25">
      <c r="A410" t="s">
        <v>576</v>
      </c>
      <c r="B410" t="s">
        <v>106</v>
      </c>
      <c r="C410" s="2">
        <f>HYPERLINK("https://szao.dolgi.msk.ru/account/3470119309/", 3470119309)</f>
        <v>3470119309</v>
      </c>
      <c r="D410" t="s">
        <v>29</v>
      </c>
      <c r="E410">
        <v>15087.52</v>
      </c>
      <c r="AX410">
        <v>2.58</v>
      </c>
      <c r="AY410">
        <v>2.78</v>
      </c>
      <c r="AZ410" t="s">
        <v>30</v>
      </c>
      <c r="BA410" t="s">
        <v>31</v>
      </c>
      <c r="BB410">
        <v>15087.52</v>
      </c>
      <c r="BC410">
        <v>15087.52</v>
      </c>
      <c r="BD410">
        <v>15087.52</v>
      </c>
      <c r="BE410">
        <v>15087.52</v>
      </c>
      <c r="BF410">
        <v>9662.58</v>
      </c>
      <c r="BG410">
        <v>2377.58</v>
      </c>
      <c r="BH410">
        <v>1645.48</v>
      </c>
      <c r="BI410">
        <v>3997.71</v>
      </c>
      <c r="BJ410">
        <v>1125.8499999999999</v>
      </c>
      <c r="BK410">
        <v>2127.62</v>
      </c>
      <c r="BL410">
        <v>3232.3</v>
      </c>
      <c r="BM410">
        <v>580.98</v>
      </c>
      <c r="BP410" s="3">
        <v>45636</v>
      </c>
      <c r="BQ410">
        <v>28987.74</v>
      </c>
    </row>
    <row r="411" spans="1:71" x14ac:dyDescent="0.25">
      <c r="A411" t="s">
        <v>576</v>
      </c>
      <c r="B411" t="s">
        <v>579</v>
      </c>
      <c r="C411" s="2">
        <f>HYPERLINK("https://szao.dolgi.msk.ru/account/3470119325/", 3470119325)</f>
        <v>3470119325</v>
      </c>
      <c r="D411" t="s">
        <v>29</v>
      </c>
      <c r="E411">
        <v>14718.67</v>
      </c>
      <c r="AX411">
        <v>2.92</v>
      </c>
      <c r="AY411">
        <v>2.99</v>
      </c>
      <c r="AZ411" t="s">
        <v>30</v>
      </c>
      <c r="BA411" t="s">
        <v>31</v>
      </c>
      <c r="BB411">
        <v>14718.67</v>
      </c>
      <c r="BC411">
        <v>14718.67</v>
      </c>
      <c r="BD411">
        <v>14718.67</v>
      </c>
      <c r="BE411">
        <v>14718.67</v>
      </c>
      <c r="BF411">
        <v>12076.5</v>
      </c>
      <c r="BG411">
        <v>4920.92</v>
      </c>
      <c r="BH411">
        <v>328.9</v>
      </c>
      <c r="BI411">
        <v>637.04999999999995</v>
      </c>
      <c r="BJ411">
        <v>179.41</v>
      </c>
      <c r="BK411">
        <v>390.24</v>
      </c>
      <c r="BL411">
        <v>7003.35</v>
      </c>
      <c r="BM411">
        <v>1258.8</v>
      </c>
      <c r="BP411" s="3">
        <v>45628</v>
      </c>
      <c r="BQ411">
        <v>17541</v>
      </c>
    </row>
    <row r="412" spans="1:71" x14ac:dyDescent="0.25">
      <c r="A412" t="s">
        <v>576</v>
      </c>
      <c r="B412" t="s">
        <v>335</v>
      </c>
      <c r="C412" s="2">
        <f>HYPERLINK("https://szao.dolgi.msk.ru/account/3470119624/", 3470119624)</f>
        <v>3470119624</v>
      </c>
      <c r="D412" t="s">
        <v>29</v>
      </c>
      <c r="E412">
        <v>54672.46</v>
      </c>
      <c r="AX412">
        <v>8.77</v>
      </c>
      <c r="AY412">
        <v>8.3800000000000008</v>
      </c>
      <c r="AZ412" t="s">
        <v>45</v>
      </c>
      <c r="BA412" t="s">
        <v>66</v>
      </c>
      <c r="BB412">
        <v>54672.46</v>
      </c>
      <c r="BC412">
        <v>54571.51</v>
      </c>
      <c r="BD412">
        <v>54672.46</v>
      </c>
      <c r="BE412">
        <v>54571.51</v>
      </c>
      <c r="BF412">
        <v>48146.18</v>
      </c>
      <c r="BG412">
        <v>4839.3999999999996</v>
      </c>
      <c r="BH412">
        <v>6739.22</v>
      </c>
      <c r="BI412">
        <v>19888.060000000001</v>
      </c>
      <c r="BJ412">
        <v>5392.88</v>
      </c>
      <c r="BK412">
        <v>9393.2099999999991</v>
      </c>
      <c r="BL412">
        <v>7101.67</v>
      </c>
      <c r="BM412">
        <v>1318.02</v>
      </c>
      <c r="BP412" s="3">
        <v>45547</v>
      </c>
      <c r="BQ412">
        <v>2254.9899999999998</v>
      </c>
      <c r="BR412" s="3">
        <v>45670</v>
      </c>
      <c r="BS412" t="s">
        <v>580</v>
      </c>
    </row>
    <row r="413" spans="1:71" x14ac:dyDescent="0.25">
      <c r="A413" t="s">
        <v>576</v>
      </c>
      <c r="B413" t="s">
        <v>90</v>
      </c>
      <c r="C413" s="2">
        <f>HYPERLINK("https://szao.dolgi.msk.ru/account/3470119683/", 3470119683)</f>
        <v>3470119683</v>
      </c>
      <c r="D413" t="s">
        <v>29</v>
      </c>
      <c r="E413">
        <v>14276.25</v>
      </c>
      <c r="AX413">
        <v>3</v>
      </c>
      <c r="AY413">
        <v>3.09</v>
      </c>
      <c r="AZ413" t="s">
        <v>40</v>
      </c>
      <c r="BA413" t="s">
        <v>49</v>
      </c>
      <c r="BB413">
        <v>14276.25</v>
      </c>
      <c r="BC413">
        <v>14276.25</v>
      </c>
      <c r="BD413">
        <v>14276.25</v>
      </c>
      <c r="BE413">
        <v>14276.25</v>
      </c>
      <c r="BF413">
        <v>9648.6299999999992</v>
      </c>
      <c r="BG413">
        <v>3550.17</v>
      </c>
      <c r="BH413">
        <v>1046.5</v>
      </c>
      <c r="BI413">
        <v>1946.45</v>
      </c>
      <c r="BJ413">
        <v>548.16999999999996</v>
      </c>
      <c r="BK413">
        <v>1224.26</v>
      </c>
      <c r="BL413">
        <v>5052.54</v>
      </c>
      <c r="BM413">
        <v>908.16</v>
      </c>
      <c r="BP413" s="3">
        <v>45638</v>
      </c>
      <c r="BQ413">
        <v>5000.5</v>
      </c>
    </row>
    <row r="414" spans="1:71" x14ac:dyDescent="0.25">
      <c r="A414" t="s">
        <v>576</v>
      </c>
      <c r="B414" t="s">
        <v>298</v>
      </c>
      <c r="C414" s="2">
        <f>HYPERLINK("https://szao.dolgi.msk.ru/account/3470331369/", 3470331369)</f>
        <v>3470331369</v>
      </c>
      <c r="D414" t="s">
        <v>29</v>
      </c>
      <c r="E414">
        <v>30447.5</v>
      </c>
      <c r="AX414">
        <v>6.58</v>
      </c>
      <c r="AY414">
        <v>6.64</v>
      </c>
      <c r="AZ414" t="s">
        <v>45</v>
      </c>
      <c r="BA414" t="s">
        <v>66</v>
      </c>
      <c r="BB414">
        <v>30447.5</v>
      </c>
      <c r="BC414">
        <v>30447.5</v>
      </c>
      <c r="BD414">
        <v>30447.5</v>
      </c>
      <c r="BE414">
        <v>30447.5</v>
      </c>
      <c r="BF414">
        <v>25862.62</v>
      </c>
      <c r="BG414">
        <v>5414.75</v>
      </c>
      <c r="BH414">
        <v>2841.46</v>
      </c>
      <c r="BI414">
        <v>6957.43</v>
      </c>
      <c r="BJ414">
        <v>1944.16</v>
      </c>
      <c r="BK414">
        <v>3684.23</v>
      </c>
      <c r="BL414">
        <v>8141.98</v>
      </c>
      <c r="BM414">
        <v>1463.49</v>
      </c>
      <c r="BP414" s="3">
        <v>45461</v>
      </c>
      <c r="BQ414">
        <v>3975.47</v>
      </c>
    </row>
    <row r="415" spans="1:71" x14ac:dyDescent="0.25">
      <c r="A415" t="s">
        <v>576</v>
      </c>
      <c r="B415" t="s">
        <v>235</v>
      </c>
      <c r="C415" s="2">
        <f>HYPERLINK("https://szao.dolgi.msk.ru/account/3470119923/", 3470119923)</f>
        <v>3470119923</v>
      </c>
      <c r="D415" t="s">
        <v>29</v>
      </c>
      <c r="E415">
        <v>67509.11</v>
      </c>
      <c r="AX415">
        <v>5.88</v>
      </c>
      <c r="AY415">
        <v>5.9</v>
      </c>
      <c r="AZ415" t="s">
        <v>40</v>
      </c>
      <c r="BA415" t="s">
        <v>49</v>
      </c>
      <c r="BB415">
        <v>67509.11</v>
      </c>
      <c r="BC415">
        <v>67509.11</v>
      </c>
      <c r="BD415">
        <v>67509.11</v>
      </c>
      <c r="BE415">
        <v>67509.11</v>
      </c>
      <c r="BF415">
        <v>56072.43</v>
      </c>
      <c r="BG415">
        <v>9915.11</v>
      </c>
      <c r="BH415">
        <v>7572.61</v>
      </c>
      <c r="BI415">
        <v>18427.07</v>
      </c>
      <c r="BJ415">
        <v>5134.22</v>
      </c>
      <c r="BK415">
        <v>9793.4599999999991</v>
      </c>
      <c r="BL415">
        <v>14031.6</v>
      </c>
      <c r="BM415">
        <v>2635.04</v>
      </c>
      <c r="BP415" s="3">
        <v>45654</v>
      </c>
      <c r="BQ415">
        <v>10974.84</v>
      </c>
      <c r="BR415" s="3">
        <v>45670</v>
      </c>
      <c r="BS415" t="s">
        <v>581</v>
      </c>
    </row>
    <row r="416" spans="1:71" x14ac:dyDescent="0.25">
      <c r="A416" t="s">
        <v>576</v>
      </c>
      <c r="B416" t="s">
        <v>582</v>
      </c>
      <c r="C416" s="2">
        <f>HYPERLINK("https://szao.dolgi.msk.ru/account/3470118533/", 3470118533)</f>
        <v>3470118533</v>
      </c>
      <c r="D416" t="s">
        <v>29</v>
      </c>
      <c r="E416">
        <v>533671.72</v>
      </c>
      <c r="AX416">
        <v>21.24</v>
      </c>
      <c r="AY416">
        <v>19.23</v>
      </c>
      <c r="AZ416" t="s">
        <v>56</v>
      </c>
      <c r="BA416" t="s">
        <v>36</v>
      </c>
      <c r="BB416">
        <v>533671.72</v>
      </c>
      <c r="BC416">
        <v>533671.72</v>
      </c>
      <c r="BD416">
        <v>533671.72</v>
      </c>
      <c r="BE416">
        <v>533671.72</v>
      </c>
      <c r="BF416">
        <v>505922.5</v>
      </c>
      <c r="BG416">
        <v>56117.22</v>
      </c>
      <c r="BH416">
        <v>74111.740000000005</v>
      </c>
      <c r="BI416">
        <v>182225.92000000001</v>
      </c>
      <c r="BJ416">
        <v>48808.33</v>
      </c>
      <c r="BK416">
        <v>81362.179999999993</v>
      </c>
      <c r="BL416">
        <v>78290.13</v>
      </c>
      <c r="BM416">
        <v>12756.2</v>
      </c>
      <c r="BP416" s="3">
        <v>45388</v>
      </c>
      <c r="BQ416">
        <v>0.2</v>
      </c>
      <c r="BR416" s="3">
        <v>45692</v>
      </c>
      <c r="BS416" t="s">
        <v>128</v>
      </c>
    </row>
    <row r="417" spans="1:71" x14ac:dyDescent="0.25">
      <c r="A417" t="s">
        <v>576</v>
      </c>
      <c r="B417" t="s">
        <v>461</v>
      </c>
      <c r="C417" s="2">
        <f>HYPERLINK("https://szao.dolgi.msk.ru/account/3470118701/", 3470118701)</f>
        <v>3470118701</v>
      </c>
      <c r="D417" t="s">
        <v>29</v>
      </c>
      <c r="E417">
        <v>7905.47</v>
      </c>
      <c r="AX417">
        <v>2.77</v>
      </c>
      <c r="AY417">
        <v>2.75</v>
      </c>
      <c r="AZ417" t="s">
        <v>40</v>
      </c>
      <c r="BA417" t="s">
        <v>31</v>
      </c>
      <c r="BB417">
        <v>7905.47</v>
      </c>
      <c r="BC417">
        <v>7905.47</v>
      </c>
      <c r="BD417">
        <v>7905.47</v>
      </c>
      <c r="BE417">
        <v>7905.47</v>
      </c>
      <c r="BF417">
        <v>4542.28</v>
      </c>
      <c r="BG417">
        <v>2451.87</v>
      </c>
      <c r="BH417">
        <v>319.7</v>
      </c>
      <c r="BI417">
        <v>531.62</v>
      </c>
      <c r="BJ417">
        <v>152.34</v>
      </c>
      <c r="BK417">
        <v>444.61</v>
      </c>
      <c r="BL417">
        <v>3379.27</v>
      </c>
      <c r="BM417">
        <v>626.05999999999995</v>
      </c>
      <c r="BP417" s="3">
        <v>45666</v>
      </c>
      <c r="BQ417">
        <v>2390.63</v>
      </c>
    </row>
    <row r="418" spans="1:71" x14ac:dyDescent="0.25">
      <c r="A418" t="s">
        <v>576</v>
      </c>
      <c r="B418" t="s">
        <v>111</v>
      </c>
      <c r="C418" s="2">
        <f>HYPERLINK("https://szao.dolgi.msk.ru/account/3470118824/", 3470118824)</f>
        <v>3470118824</v>
      </c>
      <c r="D418" t="s">
        <v>29</v>
      </c>
      <c r="E418">
        <v>18773.5</v>
      </c>
      <c r="AX418">
        <v>3.01</v>
      </c>
      <c r="AY418">
        <v>2.91</v>
      </c>
      <c r="AZ418" t="s">
        <v>30</v>
      </c>
      <c r="BA418" t="s">
        <v>49</v>
      </c>
      <c r="BB418">
        <v>18773.5</v>
      </c>
      <c r="BC418">
        <v>18773.5</v>
      </c>
      <c r="BD418">
        <v>18773.5</v>
      </c>
      <c r="BE418">
        <v>18773.5</v>
      </c>
      <c r="BF418">
        <v>12324.91</v>
      </c>
      <c r="BG418">
        <v>5307.92</v>
      </c>
      <c r="BH418">
        <v>956.77</v>
      </c>
      <c r="BI418">
        <v>1911.01</v>
      </c>
      <c r="BJ418">
        <v>538.19000000000005</v>
      </c>
      <c r="BK418">
        <v>1147.72</v>
      </c>
      <c r="BL418">
        <v>7554.1</v>
      </c>
      <c r="BM418">
        <v>1357.79</v>
      </c>
      <c r="BP418" s="3">
        <v>45618</v>
      </c>
      <c r="BQ418">
        <v>1177.4000000000001</v>
      </c>
      <c r="BR418" s="3">
        <v>45489</v>
      </c>
      <c r="BS418" t="s">
        <v>583</v>
      </c>
    </row>
    <row r="419" spans="1:71" x14ac:dyDescent="0.25">
      <c r="A419" t="s">
        <v>576</v>
      </c>
      <c r="B419" t="s">
        <v>584</v>
      </c>
      <c r="C419" s="2">
        <f>HYPERLINK("https://szao.dolgi.msk.ru/account/3470118832/", 3470118832)</f>
        <v>3470118832</v>
      </c>
      <c r="D419" t="s">
        <v>29</v>
      </c>
      <c r="E419">
        <v>601302.76</v>
      </c>
      <c r="AX419">
        <v>37.229999999999997</v>
      </c>
      <c r="AY419">
        <v>33.18</v>
      </c>
      <c r="AZ419" t="s">
        <v>56</v>
      </c>
      <c r="BA419" t="s">
        <v>36</v>
      </c>
      <c r="BB419">
        <v>601302.76</v>
      </c>
      <c r="BC419">
        <v>601302.76</v>
      </c>
      <c r="BD419">
        <v>601302.76</v>
      </c>
      <c r="BE419">
        <v>601302.76</v>
      </c>
      <c r="BF419">
        <v>583180.44999999995</v>
      </c>
      <c r="BG419">
        <v>67551.600000000006</v>
      </c>
      <c r="BH419">
        <v>78521.23</v>
      </c>
      <c r="BI419">
        <v>199105.07</v>
      </c>
      <c r="BJ419">
        <v>53372.83</v>
      </c>
      <c r="BK419">
        <v>92678.86</v>
      </c>
      <c r="BL419">
        <v>94738.9</v>
      </c>
      <c r="BM419">
        <v>15334.27</v>
      </c>
      <c r="BP419" s="3">
        <v>44389</v>
      </c>
      <c r="BQ419">
        <v>0</v>
      </c>
      <c r="BR419" s="3">
        <v>45692</v>
      </c>
      <c r="BS419" t="s">
        <v>128</v>
      </c>
    </row>
    <row r="420" spans="1:71" x14ac:dyDescent="0.25">
      <c r="A420" t="s">
        <v>576</v>
      </c>
      <c r="B420" t="s">
        <v>112</v>
      </c>
      <c r="C420" s="2">
        <f>HYPERLINK("https://szao.dolgi.msk.ru/account/3470118891/", 3470118891)</f>
        <v>3470118891</v>
      </c>
      <c r="D420" t="s">
        <v>29</v>
      </c>
      <c r="E420">
        <v>15883.51</v>
      </c>
      <c r="AX420">
        <v>3.84</v>
      </c>
      <c r="AY420">
        <v>3.83</v>
      </c>
      <c r="AZ420" t="s">
        <v>40</v>
      </c>
      <c r="BA420" t="s">
        <v>49</v>
      </c>
      <c r="BB420">
        <v>15883.51</v>
      </c>
      <c r="BC420">
        <v>15883.51</v>
      </c>
      <c r="BD420">
        <v>15883.51</v>
      </c>
      <c r="BE420">
        <v>15883.51</v>
      </c>
      <c r="BF420">
        <v>11740.12</v>
      </c>
      <c r="BG420">
        <v>3192.59</v>
      </c>
      <c r="BH420">
        <v>1375.4</v>
      </c>
      <c r="BI420">
        <v>3185.1</v>
      </c>
      <c r="BJ420">
        <v>897</v>
      </c>
      <c r="BK420">
        <v>1744.58</v>
      </c>
      <c r="BL420">
        <v>4652.5600000000004</v>
      </c>
      <c r="BM420">
        <v>836.28</v>
      </c>
      <c r="BP420" s="3">
        <v>45653</v>
      </c>
      <c r="BQ420">
        <v>3807.05</v>
      </c>
      <c r="BR420" s="3">
        <v>45496</v>
      </c>
      <c r="BS420" t="s">
        <v>585</v>
      </c>
    </row>
    <row r="421" spans="1:71" x14ac:dyDescent="0.25">
      <c r="A421" t="s">
        <v>576</v>
      </c>
      <c r="B421" t="s">
        <v>447</v>
      </c>
      <c r="C421" s="2">
        <f>HYPERLINK("https://szao.dolgi.msk.ru/account/3470118963/", 3470118963)</f>
        <v>3470118963</v>
      </c>
      <c r="D421" t="s">
        <v>29</v>
      </c>
      <c r="E421">
        <v>129315.84</v>
      </c>
      <c r="AX421">
        <v>12.77</v>
      </c>
      <c r="AY421">
        <v>12.82</v>
      </c>
      <c r="AZ421" t="s">
        <v>56</v>
      </c>
      <c r="BA421" t="s">
        <v>36</v>
      </c>
      <c r="BB421">
        <v>129315.84</v>
      </c>
      <c r="BC421">
        <v>129315.84</v>
      </c>
      <c r="BD421">
        <v>129315.84</v>
      </c>
      <c r="BE421">
        <v>129315.84</v>
      </c>
      <c r="BF421">
        <v>119227.21</v>
      </c>
      <c r="BG421">
        <v>15106</v>
      </c>
      <c r="BH421">
        <v>15941.64</v>
      </c>
      <c r="BI421">
        <v>40027.08</v>
      </c>
      <c r="BJ421">
        <v>10907.42</v>
      </c>
      <c r="BK421">
        <v>20856.54</v>
      </c>
      <c r="BL421">
        <v>22288.29</v>
      </c>
      <c r="BM421">
        <v>4188.87</v>
      </c>
      <c r="BP421" s="3">
        <v>45251</v>
      </c>
      <c r="BQ421">
        <v>9075.4</v>
      </c>
      <c r="BR421" s="3">
        <v>45530</v>
      </c>
      <c r="BS421" t="s">
        <v>586</v>
      </c>
    </row>
    <row r="422" spans="1:71" x14ac:dyDescent="0.25">
      <c r="A422" t="s">
        <v>587</v>
      </c>
      <c r="B422" t="s">
        <v>136</v>
      </c>
      <c r="C422" s="2">
        <f>HYPERLINK("https://szao.dolgi.msk.ru/account/3470120959/", 3470120959)</f>
        <v>3470120959</v>
      </c>
      <c r="D422" t="s">
        <v>29</v>
      </c>
      <c r="E422">
        <v>173536.72</v>
      </c>
      <c r="AX422">
        <v>23.33</v>
      </c>
      <c r="AY422">
        <v>25.29</v>
      </c>
      <c r="AZ422" t="s">
        <v>40</v>
      </c>
      <c r="BA422" t="s">
        <v>36</v>
      </c>
      <c r="BB422">
        <v>173536.72</v>
      </c>
      <c r="BC422">
        <v>173536.72</v>
      </c>
      <c r="BD422">
        <v>173536.72</v>
      </c>
      <c r="BE422">
        <v>173536.72</v>
      </c>
      <c r="BF422">
        <v>166676.15</v>
      </c>
      <c r="BG422">
        <v>30811.45</v>
      </c>
      <c r="BH422">
        <v>17211.68</v>
      </c>
      <c r="BI422">
        <v>49749.760000000002</v>
      </c>
      <c r="BJ422">
        <v>12451.13</v>
      </c>
      <c r="BK422">
        <v>22848.9</v>
      </c>
      <c r="BL422">
        <v>35209.449999999997</v>
      </c>
      <c r="BM422">
        <v>5254.35</v>
      </c>
      <c r="BP422" s="3">
        <v>45635</v>
      </c>
      <c r="BQ422">
        <v>4905.25</v>
      </c>
      <c r="BR422" s="3">
        <v>45670</v>
      </c>
      <c r="BS422" t="s">
        <v>588</v>
      </c>
    </row>
    <row r="423" spans="1:71" x14ac:dyDescent="0.25">
      <c r="A423" t="s">
        <v>587</v>
      </c>
      <c r="B423" t="s">
        <v>364</v>
      </c>
      <c r="C423" s="2">
        <f>HYPERLINK("https://szao.dolgi.msk.ru/account/3470120377/", 3470120377)</f>
        <v>3470120377</v>
      </c>
      <c r="D423" t="s">
        <v>29</v>
      </c>
      <c r="E423">
        <v>142306</v>
      </c>
      <c r="AX423">
        <v>36.99</v>
      </c>
      <c r="AY423">
        <v>36.64</v>
      </c>
      <c r="AZ423" t="s">
        <v>56</v>
      </c>
      <c r="BA423" t="s">
        <v>36</v>
      </c>
      <c r="BB423">
        <v>142306</v>
      </c>
      <c r="BC423">
        <v>142306</v>
      </c>
      <c r="BD423">
        <v>142306</v>
      </c>
      <c r="BE423">
        <v>142306</v>
      </c>
      <c r="BF423">
        <v>138422.26999999999</v>
      </c>
      <c r="BG423">
        <v>64963.62</v>
      </c>
      <c r="BH423">
        <v>84.6</v>
      </c>
      <c r="BI423">
        <v>407.12</v>
      </c>
      <c r="BJ423">
        <v>105.75</v>
      </c>
      <c r="BK423">
        <v>139.05000000000001</v>
      </c>
      <c r="BL423">
        <v>65213.3</v>
      </c>
      <c r="BM423">
        <v>11392.56</v>
      </c>
      <c r="BP423" s="3">
        <v>45596</v>
      </c>
      <c r="BQ423">
        <v>0</v>
      </c>
      <c r="BR423" s="3">
        <v>45282</v>
      </c>
      <c r="BS423" t="s">
        <v>589</v>
      </c>
    </row>
    <row r="424" spans="1:71" x14ac:dyDescent="0.25">
      <c r="A424" t="s">
        <v>587</v>
      </c>
      <c r="B424" t="s">
        <v>223</v>
      </c>
      <c r="C424" s="2">
        <f>HYPERLINK("https://szao.dolgi.msk.ru/account/3470120502/", 3470120502)</f>
        <v>3470120502</v>
      </c>
      <c r="D424" t="s">
        <v>29</v>
      </c>
      <c r="E424">
        <v>5509.88</v>
      </c>
      <c r="AX424">
        <v>2.1</v>
      </c>
      <c r="AY424">
        <v>0.98</v>
      </c>
      <c r="AZ424" t="s">
        <v>40</v>
      </c>
      <c r="BA424" t="s">
        <v>31</v>
      </c>
      <c r="BB424">
        <v>5509.88</v>
      </c>
      <c r="BC424">
        <v>5509.88</v>
      </c>
      <c r="BD424">
        <v>6789.68</v>
      </c>
      <c r="BE424">
        <v>6789.68</v>
      </c>
      <c r="BF424">
        <v>-117.6</v>
      </c>
      <c r="BG424">
        <v>724.41</v>
      </c>
      <c r="BH424">
        <v>-656.3</v>
      </c>
      <c r="BI424">
        <v>1978.59</v>
      </c>
      <c r="BJ424">
        <v>979.13</v>
      </c>
      <c r="BK424">
        <v>-623.5</v>
      </c>
      <c r="BL424">
        <v>1464.73</v>
      </c>
      <c r="BM424">
        <v>1642.82</v>
      </c>
      <c r="BN424">
        <v>3554.79</v>
      </c>
      <c r="BP424" s="3">
        <v>45673</v>
      </c>
      <c r="BQ424">
        <v>3554.79</v>
      </c>
      <c r="BR424" s="3">
        <v>45624</v>
      </c>
      <c r="BS424" t="s">
        <v>590</v>
      </c>
    </row>
    <row r="425" spans="1:71" x14ac:dyDescent="0.25">
      <c r="A425" t="s">
        <v>587</v>
      </c>
      <c r="B425" t="s">
        <v>591</v>
      </c>
      <c r="C425" s="2">
        <f>HYPERLINK("https://szao.dolgi.msk.ru/account/3470121126/", 3470121126)</f>
        <v>3470121126</v>
      </c>
      <c r="D425" t="s">
        <v>29</v>
      </c>
      <c r="E425">
        <v>9689.31</v>
      </c>
      <c r="AX425">
        <v>2.0299999999999998</v>
      </c>
      <c r="AY425">
        <v>2.1</v>
      </c>
      <c r="AZ425" t="s">
        <v>40</v>
      </c>
      <c r="BA425" t="s">
        <v>31</v>
      </c>
      <c r="BB425">
        <v>9689.31</v>
      </c>
      <c r="BC425">
        <v>9689.31</v>
      </c>
      <c r="BD425">
        <v>9689.31</v>
      </c>
      <c r="BE425">
        <v>9689.31</v>
      </c>
      <c r="BF425">
        <v>5308.04</v>
      </c>
      <c r="BG425">
        <v>3487.3</v>
      </c>
      <c r="BH425">
        <v>308.97000000000003</v>
      </c>
      <c r="BI425">
        <v>1132.48</v>
      </c>
      <c r="BJ425">
        <v>318.94</v>
      </c>
      <c r="BK425">
        <v>482.06</v>
      </c>
      <c r="BL425">
        <v>3328.68</v>
      </c>
      <c r="BM425">
        <v>630.88</v>
      </c>
      <c r="BP425" s="3">
        <v>45653</v>
      </c>
      <c r="BQ425">
        <v>4336.87</v>
      </c>
    </row>
    <row r="426" spans="1:71" x14ac:dyDescent="0.25">
      <c r="A426" t="s">
        <v>587</v>
      </c>
      <c r="B426" t="s">
        <v>220</v>
      </c>
      <c r="C426" s="2">
        <f>HYPERLINK("https://szao.dolgi.msk.ru/account/3470121134/", 3470121134)</f>
        <v>3470121134</v>
      </c>
      <c r="D426" t="s">
        <v>29</v>
      </c>
      <c r="E426">
        <v>20331.29</v>
      </c>
      <c r="AX426">
        <v>2.65</v>
      </c>
      <c r="AY426">
        <v>2.6</v>
      </c>
      <c r="AZ426" t="s">
        <v>40</v>
      </c>
      <c r="BA426" t="s">
        <v>31</v>
      </c>
      <c r="BB426">
        <v>20331.29</v>
      </c>
      <c r="BC426">
        <v>20331.29</v>
      </c>
      <c r="BD426">
        <v>20331.29</v>
      </c>
      <c r="BE426">
        <v>20331.29</v>
      </c>
      <c r="BF426">
        <v>12515.6</v>
      </c>
      <c r="BG426">
        <v>4826.74</v>
      </c>
      <c r="BH426">
        <v>2050.09</v>
      </c>
      <c r="BI426">
        <v>5023.74</v>
      </c>
      <c r="BJ426">
        <v>1410.78</v>
      </c>
      <c r="BK426">
        <v>2638.88</v>
      </c>
      <c r="BL426">
        <v>3445.75</v>
      </c>
      <c r="BM426">
        <v>935.31</v>
      </c>
      <c r="BP426" s="3">
        <v>45637</v>
      </c>
      <c r="BQ426">
        <v>6301.56</v>
      </c>
      <c r="BR426" s="3">
        <v>45460</v>
      </c>
      <c r="BS426" t="s">
        <v>592</v>
      </c>
    </row>
    <row r="427" spans="1:71" x14ac:dyDescent="0.25">
      <c r="A427" t="s">
        <v>587</v>
      </c>
      <c r="B427" t="s">
        <v>42</v>
      </c>
      <c r="C427" s="2">
        <f>HYPERLINK("https://szao.dolgi.msk.ru/account/3470121185/", 3470121185)</f>
        <v>3470121185</v>
      </c>
      <c r="D427" t="s">
        <v>29</v>
      </c>
      <c r="E427">
        <v>11979.3</v>
      </c>
      <c r="AX427">
        <v>2.19</v>
      </c>
      <c r="AY427">
        <v>2.2999999999999998</v>
      </c>
      <c r="AZ427" t="s">
        <v>40</v>
      </c>
      <c r="BA427" t="s">
        <v>31</v>
      </c>
      <c r="BB427">
        <v>11979.3</v>
      </c>
      <c r="BC427">
        <v>11979.3</v>
      </c>
      <c r="BD427">
        <v>11979.3</v>
      </c>
      <c r="BE427">
        <v>11979.3</v>
      </c>
      <c r="BF427">
        <v>6759.88</v>
      </c>
      <c r="BG427">
        <v>3477.6</v>
      </c>
      <c r="BH427">
        <v>777.18</v>
      </c>
      <c r="BI427">
        <v>2122.79</v>
      </c>
      <c r="BJ427">
        <v>597.84</v>
      </c>
      <c r="BK427">
        <v>1055.6300000000001</v>
      </c>
      <c r="BL427">
        <v>3319.18</v>
      </c>
      <c r="BM427">
        <v>629.08000000000004</v>
      </c>
      <c r="BN427">
        <v>4964.09</v>
      </c>
      <c r="BP427" s="3">
        <v>45671</v>
      </c>
      <c r="BQ427">
        <v>4964.09</v>
      </c>
    </row>
    <row r="428" spans="1:71" x14ac:dyDescent="0.25">
      <c r="A428" t="s">
        <v>587</v>
      </c>
      <c r="B428" t="s">
        <v>235</v>
      </c>
      <c r="C428" s="2">
        <f>HYPERLINK("https://szao.dolgi.msk.ru/account/3470121249/", 3470121249)</f>
        <v>3470121249</v>
      </c>
      <c r="D428" t="s">
        <v>29</v>
      </c>
      <c r="E428">
        <v>23612.560000000001</v>
      </c>
      <c r="AX428">
        <v>3.78</v>
      </c>
      <c r="AY428">
        <v>3.8</v>
      </c>
      <c r="AZ428" t="s">
        <v>30</v>
      </c>
      <c r="BA428" t="s">
        <v>49</v>
      </c>
      <c r="BB428">
        <v>23612.560000000001</v>
      </c>
      <c r="BC428">
        <v>23612.560000000001</v>
      </c>
      <c r="BD428">
        <v>23612.560000000001</v>
      </c>
      <c r="BE428">
        <v>23612.560000000001</v>
      </c>
      <c r="BF428">
        <v>17404.28</v>
      </c>
      <c r="BG428">
        <v>6446.24</v>
      </c>
      <c r="BH428">
        <v>1674.4</v>
      </c>
      <c r="BI428">
        <v>4246.8</v>
      </c>
      <c r="BJ428">
        <v>1196</v>
      </c>
      <c r="BK428">
        <v>2203.6799999999998</v>
      </c>
      <c r="BL428">
        <v>6595.44</v>
      </c>
      <c r="BM428">
        <v>1250</v>
      </c>
      <c r="BP428" s="3">
        <v>45624</v>
      </c>
      <c r="BQ428">
        <v>5945.75</v>
      </c>
    </row>
    <row r="429" spans="1:71" x14ac:dyDescent="0.25">
      <c r="A429" t="s">
        <v>593</v>
      </c>
      <c r="B429" t="s">
        <v>364</v>
      </c>
      <c r="C429" s="2">
        <f>HYPERLINK("https://szao.dolgi.msk.ru/account/3470121564/", 3470121564)</f>
        <v>3470121564</v>
      </c>
      <c r="D429" t="s">
        <v>29</v>
      </c>
      <c r="E429">
        <v>10300.23</v>
      </c>
      <c r="AX429">
        <v>4.34</v>
      </c>
      <c r="AY429">
        <v>1.95</v>
      </c>
      <c r="AZ429" t="s">
        <v>40</v>
      </c>
      <c r="BA429" t="s">
        <v>49</v>
      </c>
      <c r="BB429">
        <v>10300.23</v>
      </c>
      <c r="BC429">
        <v>10300.23</v>
      </c>
      <c r="BD429">
        <v>10300.23</v>
      </c>
      <c r="BE429">
        <v>10300.23</v>
      </c>
      <c r="BF429">
        <v>5018.8599999999997</v>
      </c>
      <c r="BG429">
        <v>3530.35</v>
      </c>
      <c r="BH429">
        <v>598</v>
      </c>
      <c r="BI429">
        <v>424.68</v>
      </c>
      <c r="BJ429">
        <v>119.6</v>
      </c>
      <c r="BK429">
        <v>550.91999999999996</v>
      </c>
      <c r="BL429">
        <v>4214</v>
      </c>
      <c r="BM429">
        <v>862.68</v>
      </c>
      <c r="BN429">
        <v>4640.1899999999996</v>
      </c>
      <c r="BP429" s="3">
        <v>45671</v>
      </c>
      <c r="BQ429">
        <v>4640.1899999999996</v>
      </c>
      <c r="BR429" s="3">
        <v>44989</v>
      </c>
      <c r="BS429" t="s">
        <v>594</v>
      </c>
    </row>
    <row r="430" spans="1:71" x14ac:dyDescent="0.25">
      <c r="A430" t="s">
        <v>593</v>
      </c>
      <c r="B430" t="s">
        <v>241</v>
      </c>
      <c r="C430" s="2">
        <f>HYPERLINK("https://szao.dolgi.msk.ru/account/3470122233/", 3470122233)</f>
        <v>3470122233</v>
      </c>
      <c r="D430" t="s">
        <v>29</v>
      </c>
      <c r="E430">
        <v>447525.13</v>
      </c>
      <c r="AX430">
        <v>121.67</v>
      </c>
      <c r="AY430">
        <v>147.01</v>
      </c>
      <c r="AZ430" t="s">
        <v>45</v>
      </c>
      <c r="BA430" t="s">
        <v>36</v>
      </c>
      <c r="BB430">
        <v>447525.13</v>
      </c>
      <c r="BC430">
        <v>447525.13</v>
      </c>
      <c r="BD430">
        <v>447525.13</v>
      </c>
      <c r="BE430">
        <v>447525.13</v>
      </c>
      <c r="BF430">
        <v>444480.94</v>
      </c>
      <c r="BG430">
        <v>43309.32</v>
      </c>
      <c r="BH430">
        <v>63602.79</v>
      </c>
      <c r="BI430">
        <v>174534.61</v>
      </c>
      <c r="BJ430">
        <v>48085.59</v>
      </c>
      <c r="BK430">
        <v>72138.559999999998</v>
      </c>
      <c r="BL430">
        <v>34461.660000000003</v>
      </c>
      <c r="BM430">
        <v>11392.6</v>
      </c>
      <c r="BP430" s="3">
        <v>45596</v>
      </c>
      <c r="BQ430">
        <v>0</v>
      </c>
      <c r="BR430" s="3">
        <v>45355</v>
      </c>
      <c r="BS430" t="s">
        <v>595</v>
      </c>
    </row>
    <row r="431" spans="1:71" x14ac:dyDescent="0.25">
      <c r="A431" t="s">
        <v>593</v>
      </c>
      <c r="B431" t="s">
        <v>124</v>
      </c>
      <c r="C431" s="2">
        <f>HYPERLINK("https://szao.dolgi.msk.ru/account/3470122292/", 3470122292)</f>
        <v>3470122292</v>
      </c>
      <c r="D431" t="s">
        <v>29</v>
      </c>
      <c r="E431">
        <v>168794.15</v>
      </c>
      <c r="AX431">
        <v>20.11</v>
      </c>
      <c r="AY431">
        <v>19.760000000000002</v>
      </c>
      <c r="AZ431" t="s">
        <v>69</v>
      </c>
      <c r="BA431" t="s">
        <v>36</v>
      </c>
      <c r="BB431">
        <v>168794.15</v>
      </c>
      <c r="BC431">
        <v>168794.15</v>
      </c>
      <c r="BD431">
        <v>168794.15</v>
      </c>
      <c r="BE431">
        <v>168794.15</v>
      </c>
      <c r="BF431">
        <v>160251.79</v>
      </c>
      <c r="BG431">
        <v>30392.05</v>
      </c>
      <c r="BH431">
        <v>9005.08</v>
      </c>
      <c r="BI431">
        <v>50182.81</v>
      </c>
      <c r="BJ431">
        <v>8840.6</v>
      </c>
      <c r="BK431">
        <v>16535.810000000001</v>
      </c>
      <c r="BL431">
        <v>44422.11</v>
      </c>
      <c r="BM431">
        <v>9415.69</v>
      </c>
      <c r="BP431" s="3">
        <v>45543</v>
      </c>
      <c r="BQ431">
        <v>59057.97</v>
      </c>
      <c r="BR431" s="3">
        <v>45537</v>
      </c>
      <c r="BS431" t="s">
        <v>596</v>
      </c>
    </row>
    <row r="432" spans="1:71" x14ac:dyDescent="0.25">
      <c r="A432" t="s">
        <v>597</v>
      </c>
      <c r="B432" t="s">
        <v>245</v>
      </c>
      <c r="C432" s="2">
        <f>HYPERLINK("https://szao.dolgi.msk.ru/account/3470122866/", 3470122866)</f>
        <v>3470122866</v>
      </c>
      <c r="D432" t="s">
        <v>29</v>
      </c>
      <c r="E432">
        <v>22726.76</v>
      </c>
      <c r="AX432">
        <v>2.77</v>
      </c>
      <c r="AY432">
        <v>2.57</v>
      </c>
      <c r="AZ432" t="s">
        <v>40</v>
      </c>
      <c r="BA432" t="s">
        <v>31</v>
      </c>
      <c r="BB432">
        <v>22726.76</v>
      </c>
      <c r="BC432">
        <v>22726.76</v>
      </c>
      <c r="BD432">
        <v>22726.76</v>
      </c>
      <c r="BE432">
        <v>22726.76</v>
      </c>
      <c r="BF432">
        <v>13886.48</v>
      </c>
      <c r="BG432">
        <v>6843.99</v>
      </c>
      <c r="BH432">
        <v>1268.1300000000001</v>
      </c>
      <c r="BI432">
        <v>2484.85</v>
      </c>
      <c r="BJ432">
        <v>699.79</v>
      </c>
      <c r="BK432">
        <v>1510.82</v>
      </c>
      <c r="BL432">
        <v>8489.23</v>
      </c>
      <c r="BM432">
        <v>1429.95</v>
      </c>
      <c r="BO432">
        <v>8840.2800000000007</v>
      </c>
      <c r="BP432" s="3">
        <v>45672</v>
      </c>
      <c r="BQ432">
        <v>8840.2800000000007</v>
      </c>
    </row>
    <row r="433" spans="1:71" x14ac:dyDescent="0.25">
      <c r="A433" t="s">
        <v>598</v>
      </c>
      <c r="B433" t="s">
        <v>550</v>
      </c>
      <c r="C433" s="2">
        <f>HYPERLINK("https://szao.dolgi.msk.ru/account/3470123287/", 3470123287)</f>
        <v>3470123287</v>
      </c>
      <c r="D433" t="s">
        <v>29</v>
      </c>
      <c r="E433">
        <v>69078.28</v>
      </c>
      <c r="AX433">
        <v>31.95</v>
      </c>
      <c r="AY433">
        <v>31.07</v>
      </c>
      <c r="AZ433" t="s">
        <v>56</v>
      </c>
      <c r="BA433" t="s">
        <v>36</v>
      </c>
      <c r="BB433">
        <v>69078.28</v>
      </c>
      <c r="BC433">
        <v>69078.28</v>
      </c>
      <c r="BD433">
        <v>69078.28</v>
      </c>
      <c r="BE433">
        <v>69078.28</v>
      </c>
      <c r="BF433">
        <v>66854.820000000007</v>
      </c>
      <c r="BG433">
        <v>12874.36</v>
      </c>
      <c r="BH433">
        <v>3700</v>
      </c>
      <c r="BI433">
        <v>5311.79</v>
      </c>
      <c r="BJ433">
        <v>1408.13</v>
      </c>
      <c r="BK433">
        <v>3895.94</v>
      </c>
      <c r="BL433">
        <v>35726.629999999997</v>
      </c>
      <c r="BM433">
        <v>6161.43</v>
      </c>
      <c r="BP433" s="3">
        <v>44972</v>
      </c>
      <c r="BQ433">
        <v>19493.95</v>
      </c>
      <c r="BR433" s="3">
        <v>45532</v>
      </c>
      <c r="BS433" t="s">
        <v>599</v>
      </c>
    </row>
    <row r="434" spans="1:71" x14ac:dyDescent="0.25">
      <c r="A434" t="s">
        <v>598</v>
      </c>
      <c r="B434" t="s">
        <v>550</v>
      </c>
      <c r="C434" s="2">
        <f>HYPERLINK("https://szao.dolgi.msk.ru/account/3470469632/", 3470469632)</f>
        <v>3470469632</v>
      </c>
      <c r="D434" t="s">
        <v>29</v>
      </c>
      <c r="E434">
        <v>55348.6</v>
      </c>
      <c r="AX434">
        <v>32.97</v>
      </c>
      <c r="AY434">
        <v>20.55</v>
      </c>
      <c r="AZ434" t="s">
        <v>56</v>
      </c>
      <c r="BA434" t="s">
        <v>36</v>
      </c>
      <c r="BB434">
        <v>55348.6</v>
      </c>
      <c r="BC434">
        <v>55348.6</v>
      </c>
      <c r="BD434">
        <v>71674.73</v>
      </c>
      <c r="BE434">
        <v>71674.73</v>
      </c>
      <c r="BF434">
        <v>52655.25</v>
      </c>
      <c r="BG434">
        <v>17239.900000000001</v>
      </c>
      <c r="BH434">
        <v>2333.46</v>
      </c>
      <c r="BI434">
        <v>-11595.54</v>
      </c>
      <c r="BJ434">
        <v>1610.65</v>
      </c>
      <c r="BK434">
        <v>-4730.59</v>
      </c>
      <c r="BL434">
        <v>43039.64</v>
      </c>
      <c r="BM434">
        <v>7451.08</v>
      </c>
      <c r="BP434" s="3">
        <v>45596</v>
      </c>
      <c r="BQ434">
        <v>0</v>
      </c>
      <c r="BR434" s="3">
        <v>45624</v>
      </c>
      <c r="BS434" t="s">
        <v>600</v>
      </c>
    </row>
    <row r="435" spans="1:71" x14ac:dyDescent="0.25">
      <c r="A435" t="s">
        <v>598</v>
      </c>
      <c r="B435" t="s">
        <v>287</v>
      </c>
      <c r="C435" s="2">
        <f>HYPERLINK("https://szao.dolgi.msk.ru/account/3470123367/", 3470123367)</f>
        <v>3470123367</v>
      </c>
      <c r="D435" t="s">
        <v>29</v>
      </c>
      <c r="E435">
        <v>137163.67000000001</v>
      </c>
      <c r="AX435">
        <v>25.86</v>
      </c>
      <c r="AY435">
        <v>26.57</v>
      </c>
      <c r="AZ435" t="s">
        <v>56</v>
      </c>
      <c r="BA435" t="s">
        <v>36</v>
      </c>
      <c r="BB435">
        <v>137163.67000000001</v>
      </c>
      <c r="BC435">
        <v>137163.67000000001</v>
      </c>
      <c r="BD435">
        <v>137163.67000000001</v>
      </c>
      <c r="BE435">
        <v>137163.67000000001</v>
      </c>
      <c r="BF435">
        <v>132001.60999999999</v>
      </c>
      <c r="BG435">
        <v>26743.34</v>
      </c>
      <c r="BH435">
        <v>11092.12</v>
      </c>
      <c r="BI435">
        <v>28376.5</v>
      </c>
      <c r="BJ435">
        <v>7589.28</v>
      </c>
      <c r="BK435">
        <v>14536.47</v>
      </c>
      <c r="BL435">
        <v>40791.4</v>
      </c>
      <c r="BM435">
        <v>8034.56</v>
      </c>
      <c r="BP435" s="3">
        <v>45190</v>
      </c>
      <c r="BQ435">
        <v>33312</v>
      </c>
      <c r="BR435" s="3">
        <v>45188</v>
      </c>
      <c r="BS435" t="s">
        <v>601</v>
      </c>
    </row>
    <row r="436" spans="1:71" x14ac:dyDescent="0.25">
      <c r="A436" t="s">
        <v>598</v>
      </c>
      <c r="B436" t="s">
        <v>602</v>
      </c>
      <c r="C436" s="2">
        <f>HYPERLINK("https://szao.dolgi.msk.ru/account/3470123412/", 3470123412)</f>
        <v>3470123412</v>
      </c>
      <c r="D436" t="s">
        <v>29</v>
      </c>
      <c r="E436">
        <v>11829.62</v>
      </c>
      <c r="AX436">
        <v>2.84</v>
      </c>
      <c r="AY436">
        <v>2.84</v>
      </c>
      <c r="AZ436" t="s">
        <v>30</v>
      </c>
      <c r="BA436" t="s">
        <v>31</v>
      </c>
      <c r="BB436">
        <v>11829.62</v>
      </c>
      <c r="BC436">
        <v>11829.62</v>
      </c>
      <c r="BD436">
        <v>11829.62</v>
      </c>
      <c r="BE436">
        <v>11829.62</v>
      </c>
      <c r="BF436">
        <v>7667.33</v>
      </c>
      <c r="BG436">
        <v>2352.91</v>
      </c>
      <c r="BH436">
        <v>924.41</v>
      </c>
      <c r="BI436">
        <v>1548.31</v>
      </c>
      <c r="BJ436">
        <v>436.03</v>
      </c>
      <c r="BK436">
        <v>1044.45</v>
      </c>
      <c r="BL436">
        <v>4682.8500000000004</v>
      </c>
      <c r="BM436">
        <v>840.66</v>
      </c>
      <c r="BP436" s="3">
        <v>45667</v>
      </c>
      <c r="BQ436">
        <v>7914.25</v>
      </c>
    </row>
    <row r="437" spans="1:71" x14ac:dyDescent="0.25">
      <c r="A437" t="s">
        <v>598</v>
      </c>
      <c r="B437" t="s">
        <v>374</v>
      </c>
      <c r="C437" s="2">
        <f>HYPERLINK("https://szao.dolgi.msk.ru/account/3470123498/", 3470123498)</f>
        <v>3470123498</v>
      </c>
      <c r="D437" t="s">
        <v>29</v>
      </c>
      <c r="E437">
        <v>168887.9</v>
      </c>
      <c r="AX437">
        <v>16.899999999999999</v>
      </c>
      <c r="AY437">
        <v>13.3</v>
      </c>
      <c r="AZ437" t="s">
        <v>30</v>
      </c>
      <c r="BA437" t="s">
        <v>36</v>
      </c>
      <c r="BB437">
        <v>168887.9</v>
      </c>
      <c r="BC437">
        <v>168887.9</v>
      </c>
      <c r="BD437">
        <v>168887.9</v>
      </c>
      <c r="BE437">
        <v>168887.9</v>
      </c>
      <c r="BF437">
        <v>156189.94</v>
      </c>
      <c r="BG437">
        <v>34021.53</v>
      </c>
      <c r="BH437">
        <v>11857.59</v>
      </c>
      <c r="BI437">
        <v>37080.79</v>
      </c>
      <c r="BJ437">
        <v>9696.2199999999993</v>
      </c>
      <c r="BK437">
        <v>5180.3</v>
      </c>
      <c r="BL437">
        <v>58816.62</v>
      </c>
      <c r="BM437">
        <v>12234.85</v>
      </c>
      <c r="BO437">
        <v>12697.96</v>
      </c>
      <c r="BP437" s="3">
        <v>45688</v>
      </c>
      <c r="BQ437">
        <v>12697.96</v>
      </c>
      <c r="BR437" s="3">
        <v>45282</v>
      </c>
      <c r="BS437" t="s">
        <v>603</v>
      </c>
    </row>
    <row r="438" spans="1:71" x14ac:dyDescent="0.25">
      <c r="A438" t="s">
        <v>598</v>
      </c>
      <c r="B438" t="s">
        <v>27</v>
      </c>
      <c r="C438" s="2">
        <f>HYPERLINK("https://szao.dolgi.msk.ru/account/3470316468/", 3470316468)</f>
        <v>3470316468</v>
      </c>
      <c r="D438" t="s">
        <v>29</v>
      </c>
      <c r="E438">
        <v>160087.34</v>
      </c>
      <c r="AX438">
        <v>71.2</v>
      </c>
      <c r="AY438">
        <v>73.98</v>
      </c>
      <c r="AZ438" t="s">
        <v>45</v>
      </c>
      <c r="BA438" t="s">
        <v>36</v>
      </c>
      <c r="BB438">
        <v>160087.34</v>
      </c>
      <c r="BC438">
        <v>160087.34</v>
      </c>
      <c r="BD438">
        <v>160087.34</v>
      </c>
      <c r="BE438">
        <v>160087.34</v>
      </c>
      <c r="BF438">
        <v>157923.35</v>
      </c>
      <c r="BG438">
        <v>27597.27</v>
      </c>
      <c r="BH438">
        <v>16650.669999999998</v>
      </c>
      <c r="BI438">
        <v>27283.93</v>
      </c>
      <c r="BJ438">
        <v>17471.810000000001</v>
      </c>
      <c r="BK438">
        <v>18444.759999999998</v>
      </c>
      <c r="BL438">
        <v>45727.91</v>
      </c>
      <c r="BM438">
        <v>6910.99</v>
      </c>
      <c r="BP438" s="3">
        <v>45596</v>
      </c>
      <c r="BQ438">
        <v>0</v>
      </c>
      <c r="BR438" s="3">
        <v>45355</v>
      </c>
      <c r="BS438" t="s">
        <v>604</v>
      </c>
    </row>
    <row r="439" spans="1:71" x14ac:dyDescent="0.25">
      <c r="A439" t="s">
        <v>598</v>
      </c>
      <c r="B439" t="s">
        <v>27</v>
      </c>
      <c r="C439" s="2">
        <f>HYPERLINK("https://szao.dolgi.msk.ru/account/3470316476/", 3470316476)</f>
        <v>3470316476</v>
      </c>
      <c r="D439" t="s">
        <v>29</v>
      </c>
      <c r="E439">
        <v>153556.68</v>
      </c>
      <c r="AX439">
        <v>59.04</v>
      </c>
      <c r="AY439">
        <v>70.22</v>
      </c>
      <c r="AZ439" t="s">
        <v>45</v>
      </c>
      <c r="BA439" t="s">
        <v>36</v>
      </c>
      <c r="BB439">
        <v>153556.68</v>
      </c>
      <c r="BC439">
        <v>153556.68</v>
      </c>
      <c r="BD439">
        <v>153556.68</v>
      </c>
      <c r="BE439">
        <v>153556.68</v>
      </c>
      <c r="BF439">
        <v>151457.78</v>
      </c>
      <c r="BG439">
        <v>30229.52</v>
      </c>
      <c r="BH439">
        <v>13851.19</v>
      </c>
      <c r="BI439">
        <v>36185.86</v>
      </c>
      <c r="BJ439">
        <v>12753.94</v>
      </c>
      <c r="BK439">
        <v>18199.310000000001</v>
      </c>
      <c r="BL439">
        <v>35353.120000000003</v>
      </c>
      <c r="BM439">
        <v>6983.74</v>
      </c>
      <c r="BP439" s="3">
        <v>45596</v>
      </c>
      <c r="BQ439">
        <v>0</v>
      </c>
      <c r="BR439" s="3">
        <v>45355</v>
      </c>
      <c r="BS439" t="s">
        <v>605</v>
      </c>
    </row>
    <row r="440" spans="1:71" x14ac:dyDescent="0.25">
      <c r="A440" t="s">
        <v>598</v>
      </c>
      <c r="B440" t="s">
        <v>27</v>
      </c>
      <c r="C440" s="2">
        <f>HYPERLINK("https://szao.dolgi.msk.ru/account/3470316484/", 3470316484)</f>
        <v>3470316484</v>
      </c>
      <c r="D440" t="s">
        <v>29</v>
      </c>
      <c r="E440">
        <v>285058.87</v>
      </c>
      <c r="AX440">
        <v>154.34</v>
      </c>
      <c r="AY440">
        <v>192.18</v>
      </c>
      <c r="AZ440" t="s">
        <v>45</v>
      </c>
      <c r="BA440" t="s">
        <v>36</v>
      </c>
      <c r="BB440">
        <v>285058.87</v>
      </c>
      <c r="BC440">
        <v>285037.14</v>
      </c>
      <c r="BD440">
        <v>285058.87</v>
      </c>
      <c r="BE440">
        <v>285037.14</v>
      </c>
      <c r="BF440">
        <v>283575.59999999998</v>
      </c>
      <c r="BG440">
        <v>19003.62</v>
      </c>
      <c r="BH440">
        <v>56383.56</v>
      </c>
      <c r="BI440">
        <v>50782.06</v>
      </c>
      <c r="BJ440">
        <v>72638.59</v>
      </c>
      <c r="BK440">
        <v>79842.62</v>
      </c>
      <c r="BL440">
        <v>1206.99</v>
      </c>
      <c r="BM440">
        <v>5201.43</v>
      </c>
      <c r="BP440" s="3">
        <v>45490</v>
      </c>
      <c r="BQ440">
        <v>0.2</v>
      </c>
      <c r="BR440" s="3">
        <v>45355</v>
      </c>
      <c r="BS440" t="s">
        <v>606</v>
      </c>
    </row>
    <row r="441" spans="1:71" x14ac:dyDescent="0.25">
      <c r="A441" t="s">
        <v>598</v>
      </c>
      <c r="B441" t="s">
        <v>335</v>
      </c>
      <c r="C441" s="2">
        <f>HYPERLINK("https://szao.dolgi.msk.ru/account/3470123914/", 3470123914)</f>
        <v>3470123914</v>
      </c>
      <c r="D441" t="s">
        <v>29</v>
      </c>
      <c r="E441">
        <v>389562.52</v>
      </c>
      <c r="AX441">
        <v>31.81</v>
      </c>
      <c r="AY441">
        <v>30.52</v>
      </c>
      <c r="AZ441" t="s">
        <v>56</v>
      </c>
      <c r="BA441" t="s">
        <v>36</v>
      </c>
      <c r="BB441">
        <v>389562.52</v>
      </c>
      <c r="BC441">
        <v>389562.52</v>
      </c>
      <c r="BD441">
        <v>389562.52</v>
      </c>
      <c r="BE441">
        <v>389562.52</v>
      </c>
      <c r="BF441">
        <v>376798.76</v>
      </c>
      <c r="BG441">
        <v>83932.52</v>
      </c>
      <c r="BH441">
        <v>30766.06</v>
      </c>
      <c r="BI441">
        <v>81212.039999999994</v>
      </c>
      <c r="BJ441">
        <v>21674.61</v>
      </c>
      <c r="BK441">
        <v>36606.71</v>
      </c>
      <c r="BL441">
        <v>116709.24</v>
      </c>
      <c r="BM441">
        <v>18661.34</v>
      </c>
      <c r="BP441" s="3">
        <v>45626</v>
      </c>
      <c r="BQ441">
        <v>0</v>
      </c>
      <c r="BR441" s="3">
        <v>45527</v>
      </c>
      <c r="BS441" t="s">
        <v>561</v>
      </c>
    </row>
    <row r="442" spans="1:71" x14ac:dyDescent="0.25">
      <c r="A442" t="s">
        <v>598</v>
      </c>
      <c r="B442" t="s">
        <v>92</v>
      </c>
      <c r="C442" s="2">
        <f>HYPERLINK("https://szao.dolgi.msk.ru/account/3470124175/", 3470124175)</f>
        <v>3470124175</v>
      </c>
      <c r="D442" t="s">
        <v>29</v>
      </c>
      <c r="E442">
        <v>28716.65</v>
      </c>
      <c r="AX442">
        <v>6.11</v>
      </c>
      <c r="AY442">
        <v>5.67</v>
      </c>
      <c r="AZ442" t="s">
        <v>40</v>
      </c>
      <c r="BA442" t="s">
        <v>66</v>
      </c>
      <c r="BB442">
        <v>28716.65</v>
      </c>
      <c r="BC442">
        <v>28716.65</v>
      </c>
      <c r="BD442">
        <v>28716.65</v>
      </c>
      <c r="BE442">
        <v>28716.65</v>
      </c>
      <c r="BF442">
        <v>23653.29</v>
      </c>
      <c r="BG442">
        <v>5832.82</v>
      </c>
      <c r="BH442">
        <v>2337.9</v>
      </c>
      <c r="BI442">
        <v>5384.04</v>
      </c>
      <c r="BJ442">
        <v>1600.05</v>
      </c>
      <c r="BK442">
        <v>3029.07</v>
      </c>
      <c r="BL442">
        <v>8778.3799999999992</v>
      </c>
      <c r="BM442">
        <v>1754.39</v>
      </c>
      <c r="BP442" s="3">
        <v>45646</v>
      </c>
      <c r="BQ442">
        <v>3497.89</v>
      </c>
      <c r="BR442" s="3">
        <v>44810</v>
      </c>
      <c r="BS442" t="s">
        <v>607</v>
      </c>
    </row>
    <row r="443" spans="1:71" x14ac:dyDescent="0.25">
      <c r="A443" t="s">
        <v>608</v>
      </c>
      <c r="B443" t="s">
        <v>80</v>
      </c>
      <c r="C443" s="2">
        <f>HYPERLINK("https://szao.dolgi.msk.ru/account/3470466917/", 3470466917)</f>
        <v>3470466917</v>
      </c>
      <c r="D443" t="s">
        <v>29</v>
      </c>
      <c r="E443">
        <v>8388.82</v>
      </c>
      <c r="AX443">
        <v>2.17</v>
      </c>
      <c r="AY443">
        <v>2</v>
      </c>
      <c r="AZ443" t="s">
        <v>35</v>
      </c>
      <c r="BA443" t="s">
        <v>31</v>
      </c>
      <c r="BB443">
        <v>8388.82</v>
      </c>
      <c r="BC443">
        <v>8388.82</v>
      </c>
      <c r="BD443">
        <v>8388.82</v>
      </c>
      <c r="BE443">
        <v>8388.82</v>
      </c>
      <c r="BF443">
        <v>4203.59</v>
      </c>
      <c r="BG443">
        <v>3734.69</v>
      </c>
      <c r="BH443">
        <v>197.97</v>
      </c>
      <c r="BI443">
        <v>522.6</v>
      </c>
      <c r="BJ443">
        <v>135.44999999999999</v>
      </c>
      <c r="BK443">
        <v>245.02</v>
      </c>
      <c r="BL443">
        <v>3137.13</v>
      </c>
      <c r="BM443">
        <v>415.96</v>
      </c>
      <c r="BN443">
        <v>3725</v>
      </c>
      <c r="BP443" s="3">
        <v>45671</v>
      </c>
      <c r="BQ443">
        <v>3725</v>
      </c>
      <c r="BR443" s="3">
        <v>45481</v>
      </c>
      <c r="BS443" t="s">
        <v>609</v>
      </c>
    </row>
    <row r="444" spans="1:71" x14ac:dyDescent="0.25">
      <c r="A444" t="s">
        <v>608</v>
      </c>
      <c r="B444" t="s">
        <v>52</v>
      </c>
      <c r="C444" s="2">
        <f>HYPERLINK("https://szao.dolgi.msk.ru/account/3470466925/", 3470466925)</f>
        <v>3470466925</v>
      </c>
      <c r="D444" t="s">
        <v>29</v>
      </c>
      <c r="E444">
        <v>18493.22</v>
      </c>
      <c r="AX444">
        <v>2.1800000000000002</v>
      </c>
      <c r="AY444">
        <v>1.97</v>
      </c>
      <c r="AZ444" t="s">
        <v>40</v>
      </c>
      <c r="BA444" t="s">
        <v>31</v>
      </c>
      <c r="BB444">
        <v>18493.22</v>
      </c>
      <c r="BC444">
        <v>18493.22</v>
      </c>
      <c r="BD444">
        <v>18493.22</v>
      </c>
      <c r="BE444">
        <v>18493.22</v>
      </c>
      <c r="BF444">
        <v>9123.2900000000009</v>
      </c>
      <c r="BG444">
        <v>1837.22</v>
      </c>
      <c r="BH444">
        <v>2488.2800000000002</v>
      </c>
      <c r="BI444">
        <v>6045.32</v>
      </c>
      <c r="BJ444">
        <v>1702.5</v>
      </c>
      <c r="BK444">
        <v>3217.38</v>
      </c>
      <c r="BL444">
        <v>2753.58</v>
      </c>
      <c r="BM444">
        <v>448.94</v>
      </c>
      <c r="BP444" s="3">
        <v>45667</v>
      </c>
      <c r="BQ444">
        <v>9123.2900000000009</v>
      </c>
    </row>
    <row r="445" spans="1:71" x14ac:dyDescent="0.25">
      <c r="A445" t="s">
        <v>608</v>
      </c>
      <c r="B445" t="s">
        <v>160</v>
      </c>
      <c r="C445" s="2">
        <f>HYPERLINK("https://szao.dolgi.msk.ru/account/3470467004/", 3470467004)</f>
        <v>3470467004</v>
      </c>
      <c r="D445" t="s">
        <v>29</v>
      </c>
      <c r="E445">
        <v>362437.1</v>
      </c>
      <c r="AX445">
        <v>24</v>
      </c>
      <c r="AY445">
        <v>22.75</v>
      </c>
      <c r="AZ445" t="s">
        <v>56</v>
      </c>
      <c r="BA445" t="s">
        <v>36</v>
      </c>
      <c r="BB445">
        <v>362437.1</v>
      </c>
      <c r="BC445">
        <v>362437.1</v>
      </c>
      <c r="BD445">
        <v>362437.1</v>
      </c>
      <c r="BE445">
        <v>362437.1</v>
      </c>
      <c r="BF445">
        <v>346504.54</v>
      </c>
      <c r="BG445">
        <v>27471.11</v>
      </c>
      <c r="BH445">
        <v>51613.9</v>
      </c>
      <c r="BI445">
        <v>124478.28</v>
      </c>
      <c r="BJ445">
        <v>33503.360000000001</v>
      </c>
      <c r="BK445">
        <v>66007.09</v>
      </c>
      <c r="BL445">
        <v>51615.18</v>
      </c>
      <c r="BM445">
        <v>7748.18</v>
      </c>
      <c r="BP445" s="3">
        <v>45596</v>
      </c>
      <c r="BQ445">
        <v>0</v>
      </c>
      <c r="BR445" s="3">
        <v>45670</v>
      </c>
      <c r="BS445" t="s">
        <v>610</v>
      </c>
    </row>
    <row r="446" spans="1:71" x14ac:dyDescent="0.25">
      <c r="A446" t="s">
        <v>608</v>
      </c>
      <c r="B446" t="s">
        <v>413</v>
      </c>
      <c r="C446" s="2">
        <f>HYPERLINK("https://szao.dolgi.msk.ru/account/3470468015/", 3470468015)</f>
        <v>3470468015</v>
      </c>
      <c r="D446" t="s">
        <v>29</v>
      </c>
      <c r="E446">
        <v>26047.95</v>
      </c>
      <c r="AX446">
        <v>19.86</v>
      </c>
      <c r="AY446">
        <v>7.69</v>
      </c>
      <c r="AZ446" t="s">
        <v>40</v>
      </c>
      <c r="BA446" t="s">
        <v>36</v>
      </c>
      <c r="BB446">
        <v>26047.95</v>
      </c>
      <c r="BC446">
        <v>26047.95</v>
      </c>
      <c r="BD446">
        <v>26047.95</v>
      </c>
      <c r="BE446">
        <v>26047.95</v>
      </c>
      <c r="BF446">
        <v>22661.9</v>
      </c>
      <c r="BG446">
        <v>2353.5700000000002</v>
      </c>
      <c r="BH446">
        <v>2934.88</v>
      </c>
      <c r="BI446">
        <v>9504.59</v>
      </c>
      <c r="BJ446">
        <v>2469.54</v>
      </c>
      <c r="BK446">
        <v>4682.79</v>
      </c>
      <c r="BL446">
        <v>3527.46</v>
      </c>
      <c r="BM446">
        <v>575.12</v>
      </c>
      <c r="BP446" s="3">
        <v>45653</v>
      </c>
      <c r="BQ446">
        <v>3070.1</v>
      </c>
      <c r="BR446" s="3">
        <v>45232</v>
      </c>
      <c r="BS446" t="s">
        <v>611</v>
      </c>
    </row>
    <row r="447" spans="1:71" x14ac:dyDescent="0.25">
      <c r="A447" t="s">
        <v>608</v>
      </c>
      <c r="B447" t="s">
        <v>87</v>
      </c>
      <c r="C447" s="2">
        <f>HYPERLINK("https://szao.dolgi.msk.ru/account/3470468189/", 3470468189)</f>
        <v>3470468189</v>
      </c>
      <c r="D447" t="s">
        <v>29</v>
      </c>
      <c r="E447">
        <v>15036.98</v>
      </c>
      <c r="AX447">
        <v>5.69</v>
      </c>
      <c r="AY447">
        <v>5.54</v>
      </c>
      <c r="AZ447" t="s">
        <v>35</v>
      </c>
      <c r="BA447" t="s">
        <v>49</v>
      </c>
      <c r="BB447">
        <v>15036.98</v>
      </c>
      <c r="BC447">
        <v>15036.98</v>
      </c>
      <c r="BD447">
        <v>15036.98</v>
      </c>
      <c r="BE447">
        <v>15036.98</v>
      </c>
      <c r="BF447">
        <v>15036.98</v>
      </c>
      <c r="BG447">
        <v>5745.68</v>
      </c>
      <c r="BH447">
        <v>155.53</v>
      </c>
      <c r="BI447">
        <v>174.83</v>
      </c>
      <c r="BJ447">
        <v>47.45</v>
      </c>
      <c r="BK447">
        <v>157.61000000000001</v>
      </c>
      <c r="BL447">
        <v>7467.66</v>
      </c>
      <c r="BM447">
        <v>1288.22</v>
      </c>
      <c r="BN447">
        <v>0</v>
      </c>
      <c r="BO447">
        <v>2712.99</v>
      </c>
      <c r="BP447" s="3">
        <v>45698</v>
      </c>
      <c r="BQ447">
        <v>2712.99</v>
      </c>
      <c r="BR447" s="3">
        <v>45678</v>
      </c>
      <c r="BS447" t="s">
        <v>612</v>
      </c>
    </row>
    <row r="448" spans="1:71" x14ac:dyDescent="0.25">
      <c r="A448" t="s">
        <v>608</v>
      </c>
      <c r="B448" t="s">
        <v>88</v>
      </c>
      <c r="C448" s="2">
        <f>HYPERLINK("https://szao.dolgi.msk.ru/account/3470468437/", 3470468437)</f>
        <v>3470468437</v>
      </c>
      <c r="D448" t="s">
        <v>29</v>
      </c>
      <c r="E448">
        <v>21611.99</v>
      </c>
      <c r="AX448">
        <v>3.28</v>
      </c>
      <c r="AY448">
        <v>3.01</v>
      </c>
      <c r="AZ448" t="s">
        <v>35</v>
      </c>
      <c r="BA448" t="s">
        <v>49</v>
      </c>
      <c r="BB448">
        <v>21611.99</v>
      </c>
      <c r="BC448">
        <v>21611.99</v>
      </c>
      <c r="BD448">
        <v>21611.99</v>
      </c>
      <c r="BE448">
        <v>21611.99</v>
      </c>
      <c r="BF448">
        <v>26146.37</v>
      </c>
      <c r="BG448">
        <v>5015.2</v>
      </c>
      <c r="BH448">
        <v>1942.01</v>
      </c>
      <c r="BI448">
        <v>3132.93</v>
      </c>
      <c r="BJ448">
        <v>867.1</v>
      </c>
      <c r="BK448">
        <v>2193.27</v>
      </c>
      <c r="BL448">
        <v>7046.78</v>
      </c>
      <c r="BM448">
        <v>1414.7</v>
      </c>
      <c r="BN448">
        <v>4534.38</v>
      </c>
      <c r="BO448">
        <v>7169.52</v>
      </c>
      <c r="BP448" s="3">
        <v>45694</v>
      </c>
      <c r="BQ448">
        <v>11703.9</v>
      </c>
      <c r="BR448" s="3">
        <v>45539</v>
      </c>
      <c r="BS448" t="s">
        <v>613</v>
      </c>
    </row>
    <row r="449" spans="1:71" x14ac:dyDescent="0.25">
      <c r="A449" t="s">
        <v>614</v>
      </c>
      <c r="B449" t="s">
        <v>48</v>
      </c>
      <c r="C449" s="2">
        <f>HYPERLINK("https://szao.dolgi.msk.ru/account/3470312862/", 3470312862)</f>
        <v>3470312862</v>
      </c>
      <c r="D449" t="s">
        <v>29</v>
      </c>
      <c r="E449">
        <v>308890.3</v>
      </c>
      <c r="AX449">
        <v>57.95</v>
      </c>
      <c r="AY449">
        <v>58.44</v>
      </c>
      <c r="AZ449" t="s">
        <v>40</v>
      </c>
      <c r="BA449" t="s">
        <v>36</v>
      </c>
      <c r="BB449">
        <v>308890.3</v>
      </c>
      <c r="BC449">
        <v>308890.3</v>
      </c>
      <c r="BD449">
        <v>308890.3</v>
      </c>
      <c r="BE449">
        <v>308890.3</v>
      </c>
      <c r="BF449">
        <v>303604.40000000002</v>
      </c>
      <c r="BG449">
        <v>36011.97</v>
      </c>
      <c r="BH449">
        <v>30547.15</v>
      </c>
      <c r="BI449">
        <v>113562.9</v>
      </c>
      <c r="BJ449">
        <v>30740.87</v>
      </c>
      <c r="BK449">
        <v>43492.1</v>
      </c>
      <c r="BL449">
        <v>46367.19</v>
      </c>
      <c r="BM449">
        <v>8168.12</v>
      </c>
      <c r="BP449" s="3">
        <v>45667</v>
      </c>
      <c r="BQ449">
        <v>3372.13</v>
      </c>
      <c r="BR449" s="3">
        <v>45355</v>
      </c>
      <c r="BS449" t="s">
        <v>615</v>
      </c>
    </row>
    <row r="450" spans="1:71" x14ac:dyDescent="0.25">
      <c r="A450" t="s">
        <v>614</v>
      </c>
      <c r="B450" t="s">
        <v>136</v>
      </c>
      <c r="C450" s="2">
        <f>HYPERLINK("https://szao.dolgi.msk.ru/account/3470125178/", 3470125178)</f>
        <v>3470125178</v>
      </c>
      <c r="D450" t="s">
        <v>29</v>
      </c>
      <c r="E450">
        <v>50015.55</v>
      </c>
      <c r="AX450">
        <v>9.82</v>
      </c>
      <c r="AY450">
        <v>9.8000000000000007</v>
      </c>
      <c r="AZ450" t="s">
        <v>45</v>
      </c>
      <c r="BA450" t="s">
        <v>63</v>
      </c>
      <c r="BB450">
        <v>50015.55</v>
      </c>
      <c r="BC450">
        <v>50015.55</v>
      </c>
      <c r="BD450">
        <v>50015.55</v>
      </c>
      <c r="BE450">
        <v>50015.55</v>
      </c>
      <c r="BF450">
        <v>44911.28</v>
      </c>
      <c r="BG450">
        <v>18959.830000000002</v>
      </c>
      <c r="BH450">
        <v>0</v>
      </c>
      <c r="BI450">
        <v>0</v>
      </c>
      <c r="BJ450">
        <v>0</v>
      </c>
      <c r="BK450">
        <v>0</v>
      </c>
      <c r="BL450">
        <v>25861.47</v>
      </c>
      <c r="BM450">
        <v>5194.25</v>
      </c>
      <c r="BP450" s="3">
        <v>45398</v>
      </c>
      <c r="BQ450">
        <v>38358.01</v>
      </c>
    </row>
    <row r="451" spans="1:71" x14ac:dyDescent="0.25">
      <c r="A451" t="s">
        <v>614</v>
      </c>
      <c r="B451" t="s">
        <v>481</v>
      </c>
      <c r="C451" s="2">
        <f>HYPERLINK("https://szao.dolgi.msk.ru/account/3470312977/", 3470312977)</f>
        <v>3470312977</v>
      </c>
      <c r="D451" t="s">
        <v>29</v>
      </c>
      <c r="E451">
        <v>7586.96</v>
      </c>
      <c r="AX451">
        <v>3.85</v>
      </c>
      <c r="AY451">
        <v>2.87</v>
      </c>
      <c r="AZ451" t="s">
        <v>45</v>
      </c>
      <c r="BA451" t="s">
        <v>49</v>
      </c>
      <c r="BB451">
        <v>7586.96</v>
      </c>
      <c r="BC451">
        <v>7586.96</v>
      </c>
      <c r="BD451">
        <v>7586.96</v>
      </c>
      <c r="BE451">
        <v>7586.96</v>
      </c>
      <c r="BF451">
        <v>4946.3</v>
      </c>
      <c r="BG451">
        <v>1531.36</v>
      </c>
      <c r="BH451">
        <v>645.69000000000005</v>
      </c>
      <c r="BI451">
        <v>2037.68</v>
      </c>
      <c r="BJ451">
        <v>558.57000000000005</v>
      </c>
      <c r="BK451">
        <v>930.67</v>
      </c>
      <c r="BL451">
        <v>1424.8</v>
      </c>
      <c r="BM451">
        <v>458.19</v>
      </c>
      <c r="BP451" s="3">
        <v>45509</v>
      </c>
      <c r="BQ451">
        <v>37151.26</v>
      </c>
      <c r="BR451" s="3">
        <v>45068</v>
      </c>
      <c r="BS451" t="s">
        <v>616</v>
      </c>
    </row>
    <row r="452" spans="1:71" x14ac:dyDescent="0.25">
      <c r="A452" t="s">
        <v>617</v>
      </c>
      <c r="B452" t="s">
        <v>28</v>
      </c>
      <c r="C452" s="2">
        <f>HYPERLINK("https://szao.dolgi.msk.ru/account/3470125215/", 3470125215)</f>
        <v>3470125215</v>
      </c>
      <c r="D452" t="s">
        <v>29</v>
      </c>
      <c r="E452">
        <v>42048.08</v>
      </c>
      <c r="AX452">
        <v>2.38</v>
      </c>
      <c r="AY452">
        <v>2.38</v>
      </c>
      <c r="AZ452" t="s">
        <v>35</v>
      </c>
      <c r="BA452" t="s">
        <v>31</v>
      </c>
      <c r="BB452">
        <v>42048.08</v>
      </c>
      <c r="BC452">
        <v>42048.08</v>
      </c>
      <c r="BD452">
        <v>42048.08</v>
      </c>
      <c r="BE452">
        <v>42048.08</v>
      </c>
      <c r="BF452">
        <v>24363.15</v>
      </c>
      <c r="BG452">
        <v>8143.68</v>
      </c>
      <c r="BH452">
        <v>3497.6</v>
      </c>
      <c r="BI452">
        <v>9492.48</v>
      </c>
      <c r="BJ452">
        <v>2607.65</v>
      </c>
      <c r="BK452">
        <v>4747.3900000000003</v>
      </c>
      <c r="BL452">
        <v>11320.76</v>
      </c>
      <c r="BM452">
        <v>2238.52</v>
      </c>
      <c r="BN452">
        <v>17190.849999999999</v>
      </c>
      <c r="BP452" s="3">
        <v>45671</v>
      </c>
      <c r="BQ452">
        <v>17190.849999999999</v>
      </c>
      <c r="BR452" s="3">
        <v>45530</v>
      </c>
      <c r="BS452" t="s">
        <v>618</v>
      </c>
    </row>
    <row r="453" spans="1:71" x14ac:dyDescent="0.25">
      <c r="A453" t="s">
        <v>617</v>
      </c>
      <c r="B453" t="s">
        <v>80</v>
      </c>
      <c r="C453" s="2">
        <f>HYPERLINK("https://szao.dolgi.msk.ru/account/3470485069/", 3470485069)</f>
        <v>3470485069</v>
      </c>
      <c r="D453" t="s">
        <v>29</v>
      </c>
      <c r="E453">
        <v>5058.33</v>
      </c>
      <c r="AX453">
        <v>3.38</v>
      </c>
      <c r="AY453">
        <v>1.91</v>
      </c>
      <c r="AZ453" t="s">
        <v>40</v>
      </c>
      <c r="BA453" t="s">
        <v>49</v>
      </c>
      <c r="BB453">
        <v>5058.33</v>
      </c>
      <c r="BC453">
        <v>5058.33</v>
      </c>
      <c r="BD453">
        <v>5058.33</v>
      </c>
      <c r="BE453">
        <v>5058.33</v>
      </c>
      <c r="BF453">
        <v>2406.79</v>
      </c>
      <c r="BG453">
        <v>1823.21</v>
      </c>
      <c r="BH453">
        <v>0</v>
      </c>
      <c r="BI453">
        <v>0</v>
      </c>
      <c r="BJ453">
        <v>0</v>
      </c>
      <c r="BK453">
        <v>0</v>
      </c>
      <c r="BL453">
        <v>2789.6</v>
      </c>
      <c r="BM453">
        <v>445.52</v>
      </c>
      <c r="BP453" s="3">
        <v>45653</v>
      </c>
      <c r="BQ453">
        <v>2406.79</v>
      </c>
    </row>
    <row r="454" spans="1:71" x14ac:dyDescent="0.25">
      <c r="A454" t="s">
        <v>617</v>
      </c>
      <c r="B454" t="s">
        <v>80</v>
      </c>
      <c r="C454" s="2">
        <f>HYPERLINK("https://szao.dolgi.msk.ru/account/3470548023/", 3470548023)</f>
        <v>3470548023</v>
      </c>
      <c r="D454" t="s">
        <v>29</v>
      </c>
      <c r="E454">
        <v>30186.14</v>
      </c>
      <c r="AX454">
        <v>33.619999999999997</v>
      </c>
      <c r="AY454">
        <v>32.53</v>
      </c>
      <c r="AZ454" t="s">
        <v>56</v>
      </c>
      <c r="BA454" t="s">
        <v>36</v>
      </c>
      <c r="BB454">
        <v>30186.14</v>
      </c>
      <c r="BC454">
        <v>30186.14</v>
      </c>
      <c r="BD454">
        <v>32393.02</v>
      </c>
      <c r="BE454">
        <v>32393.02</v>
      </c>
      <c r="BF454">
        <v>29258.1</v>
      </c>
      <c r="BG454">
        <v>11299.03</v>
      </c>
      <c r="BH454">
        <v>0</v>
      </c>
      <c r="BI454">
        <v>-1103.44</v>
      </c>
      <c r="BJ454">
        <v>0</v>
      </c>
      <c r="BK454">
        <v>-1103.44</v>
      </c>
      <c r="BL454">
        <v>18428.93</v>
      </c>
      <c r="BM454">
        <v>2665.06</v>
      </c>
      <c r="BP454" s="3">
        <v>44985</v>
      </c>
      <c r="BQ454">
        <v>272.02</v>
      </c>
      <c r="BR454" s="3">
        <v>45699</v>
      </c>
      <c r="BS454" t="s">
        <v>619</v>
      </c>
    </row>
    <row r="455" spans="1:71" x14ac:dyDescent="0.25">
      <c r="A455" t="s">
        <v>617</v>
      </c>
      <c r="B455" t="s">
        <v>152</v>
      </c>
      <c r="C455" s="2">
        <f>HYPERLINK("https://szao.dolgi.msk.ru/account/3470312619/", 3470312619)</f>
        <v>3470312619</v>
      </c>
      <c r="D455" t="s">
        <v>29</v>
      </c>
      <c r="E455">
        <v>43681.440000000002</v>
      </c>
      <c r="AX455">
        <v>40.76</v>
      </c>
      <c r="AY455">
        <v>29.01</v>
      </c>
      <c r="AZ455" t="s">
        <v>45</v>
      </c>
      <c r="BA455" t="s">
        <v>36</v>
      </c>
      <c r="BB455">
        <v>43681.440000000002</v>
      </c>
      <c r="BC455">
        <v>43675.83</v>
      </c>
      <c r="BD455">
        <v>48649.64</v>
      </c>
      <c r="BE455">
        <v>48644.03</v>
      </c>
      <c r="BF455">
        <v>42175.78</v>
      </c>
      <c r="BG455">
        <v>20221.41</v>
      </c>
      <c r="BH455">
        <v>1936.21</v>
      </c>
      <c r="BI455">
        <v>3815.71</v>
      </c>
      <c r="BJ455">
        <v>1180</v>
      </c>
      <c r="BK455">
        <v>-4968.2</v>
      </c>
      <c r="BL455">
        <v>18642.2</v>
      </c>
      <c r="BM455">
        <v>2854.11</v>
      </c>
      <c r="BP455" s="3">
        <v>45596</v>
      </c>
      <c r="BQ455">
        <v>0</v>
      </c>
      <c r="BR455" s="3">
        <v>45530</v>
      </c>
      <c r="BS455" t="s">
        <v>620</v>
      </c>
    </row>
    <row r="456" spans="1:71" x14ac:dyDescent="0.25">
      <c r="A456" t="s">
        <v>617</v>
      </c>
      <c r="B456" t="s">
        <v>152</v>
      </c>
      <c r="C456" s="2">
        <f>HYPERLINK("https://szao.dolgi.msk.ru/account/3470312635/", 3470312635)</f>
        <v>3470312635</v>
      </c>
      <c r="D456" t="s">
        <v>29</v>
      </c>
      <c r="E456">
        <v>8209.7099999999991</v>
      </c>
      <c r="AX456">
        <v>9.82</v>
      </c>
      <c r="AY456">
        <v>6.91</v>
      </c>
      <c r="AZ456" t="s">
        <v>45</v>
      </c>
      <c r="BA456" t="s">
        <v>63</v>
      </c>
      <c r="BB456">
        <v>8209.7099999999991</v>
      </c>
      <c r="BC456">
        <v>8204.1</v>
      </c>
      <c r="BD456">
        <v>8209.7099999999991</v>
      </c>
      <c r="BE456">
        <v>8204.1</v>
      </c>
      <c r="BF456">
        <v>7021.78</v>
      </c>
      <c r="BG456">
        <v>2385.69</v>
      </c>
      <c r="BH456">
        <v>399.18</v>
      </c>
      <c r="BI456">
        <v>669.41</v>
      </c>
      <c r="BJ456">
        <v>184.97</v>
      </c>
      <c r="BK456">
        <v>447.88</v>
      </c>
      <c r="BL456">
        <v>3554.81</v>
      </c>
      <c r="BM456">
        <v>567.77</v>
      </c>
      <c r="BP456" s="3">
        <v>45485</v>
      </c>
      <c r="BQ456">
        <v>1162.79</v>
      </c>
    </row>
    <row r="457" spans="1:71" x14ac:dyDescent="0.25">
      <c r="A457" t="s">
        <v>617</v>
      </c>
      <c r="B457" t="s">
        <v>173</v>
      </c>
      <c r="C457" s="2">
        <f>HYPERLINK("https://szao.dolgi.msk.ru/account/3470312707/", 3470312707)</f>
        <v>3470312707</v>
      </c>
      <c r="D457" t="s">
        <v>29</v>
      </c>
      <c r="E457">
        <v>40715.93</v>
      </c>
      <c r="AX457">
        <v>28.25</v>
      </c>
      <c r="AY457">
        <v>24.91</v>
      </c>
      <c r="AZ457" t="s">
        <v>40</v>
      </c>
      <c r="BA457" t="s">
        <v>36</v>
      </c>
      <c r="BB457">
        <v>40715.93</v>
      </c>
      <c r="BC457">
        <v>40715.93</v>
      </c>
      <c r="BD457">
        <v>41092.730000000003</v>
      </c>
      <c r="BE457">
        <v>41092.730000000003</v>
      </c>
      <c r="BF457">
        <v>39012.660000000003</v>
      </c>
      <c r="BG457">
        <v>14104.94</v>
      </c>
      <c r="BH457">
        <v>3243.94</v>
      </c>
      <c r="BI457">
        <v>8328.7800000000007</v>
      </c>
      <c r="BJ457">
        <v>2170.3200000000002</v>
      </c>
      <c r="BK457">
        <v>-376.8</v>
      </c>
      <c r="BL457">
        <v>11518.41</v>
      </c>
      <c r="BM457">
        <v>1726.34</v>
      </c>
      <c r="BP457" s="3">
        <v>45624</v>
      </c>
      <c r="BQ457">
        <v>1292.2</v>
      </c>
      <c r="BR457" s="3">
        <v>45530</v>
      </c>
      <c r="BS457" t="s">
        <v>621</v>
      </c>
    </row>
    <row r="458" spans="1:71" x14ac:dyDescent="0.25">
      <c r="A458" t="s">
        <v>617</v>
      </c>
      <c r="B458" t="s">
        <v>550</v>
      </c>
      <c r="C458" s="2">
        <f>HYPERLINK("https://szao.dolgi.msk.ru/account/3470312782/", 3470312782)</f>
        <v>3470312782</v>
      </c>
      <c r="D458" t="s">
        <v>29</v>
      </c>
      <c r="E458">
        <v>6310.39</v>
      </c>
      <c r="AX458">
        <v>2.4500000000000002</v>
      </c>
      <c r="AY458">
        <v>2.38</v>
      </c>
      <c r="AZ458" t="s">
        <v>40</v>
      </c>
      <c r="BA458" t="s">
        <v>31</v>
      </c>
      <c r="BB458">
        <v>6310.39</v>
      </c>
      <c r="BC458">
        <v>6310.39</v>
      </c>
      <c r="BD458">
        <v>6310.39</v>
      </c>
      <c r="BE458">
        <v>6310.39</v>
      </c>
      <c r="BF458">
        <v>3717.41</v>
      </c>
      <c r="BG458">
        <v>1894.31</v>
      </c>
      <c r="BH458">
        <v>442.3</v>
      </c>
      <c r="BI458">
        <v>817.76</v>
      </c>
      <c r="BJ458">
        <v>225.76</v>
      </c>
      <c r="BK458">
        <v>516.17999999999995</v>
      </c>
      <c r="BL458">
        <v>1930.38</v>
      </c>
      <c r="BM458">
        <v>483.7</v>
      </c>
      <c r="BN458">
        <v>2527.25</v>
      </c>
      <c r="BP458" s="3">
        <v>45680</v>
      </c>
      <c r="BQ458">
        <v>2527.25</v>
      </c>
    </row>
    <row r="459" spans="1:71" x14ac:dyDescent="0.25">
      <c r="A459" t="s">
        <v>617</v>
      </c>
      <c r="B459" t="s">
        <v>550</v>
      </c>
      <c r="C459" s="2">
        <f>HYPERLINK("https://szao.dolgi.msk.ru/account/3470312803/", 3470312803)</f>
        <v>3470312803</v>
      </c>
      <c r="D459" t="s">
        <v>29</v>
      </c>
      <c r="E459">
        <v>12956.02</v>
      </c>
      <c r="AX459">
        <v>3.22</v>
      </c>
      <c r="AY459">
        <v>3.89</v>
      </c>
      <c r="AZ459" t="s">
        <v>56</v>
      </c>
      <c r="BA459" t="s">
        <v>49</v>
      </c>
      <c r="BB459">
        <v>12956.02</v>
      </c>
      <c r="BC459">
        <v>12956.02</v>
      </c>
      <c r="BD459">
        <v>12956.02</v>
      </c>
      <c r="BE459">
        <v>12956.02</v>
      </c>
      <c r="BF459">
        <v>9678.08</v>
      </c>
      <c r="BG459">
        <v>3345.31</v>
      </c>
      <c r="BH459">
        <v>845.74</v>
      </c>
      <c r="BI459">
        <v>1385.26</v>
      </c>
      <c r="BJ459">
        <v>390.13</v>
      </c>
      <c r="BK459">
        <v>948.81</v>
      </c>
      <c r="BL459">
        <v>5164.49</v>
      </c>
      <c r="BM459">
        <v>876.28</v>
      </c>
      <c r="BP459" s="3">
        <v>45576</v>
      </c>
      <c r="BQ459">
        <v>1744.95</v>
      </c>
    </row>
    <row r="460" spans="1:71" x14ac:dyDescent="0.25">
      <c r="A460" t="s">
        <v>622</v>
      </c>
      <c r="B460" t="s">
        <v>28</v>
      </c>
      <c r="C460" s="2">
        <f>HYPERLINK("https://szao.dolgi.msk.ru/account/3470467071/", 3470467071)</f>
        <v>3470467071</v>
      </c>
      <c r="D460" t="s">
        <v>29</v>
      </c>
      <c r="E460">
        <v>13618.84</v>
      </c>
      <c r="AX460">
        <v>4.2</v>
      </c>
      <c r="AY460">
        <v>3.85</v>
      </c>
      <c r="AZ460" t="s">
        <v>40</v>
      </c>
      <c r="BA460" t="s">
        <v>49</v>
      </c>
      <c r="BB460">
        <v>13618.84</v>
      </c>
      <c r="BC460">
        <v>13618.84</v>
      </c>
      <c r="BD460">
        <v>13618.84</v>
      </c>
      <c r="BE460">
        <v>13618.84</v>
      </c>
      <c r="BF460">
        <v>10077.42</v>
      </c>
      <c r="BG460">
        <v>3640.16</v>
      </c>
      <c r="BH460">
        <v>2079.91</v>
      </c>
      <c r="BI460">
        <v>0</v>
      </c>
      <c r="BJ460">
        <v>0</v>
      </c>
      <c r="BK460">
        <v>1600.13</v>
      </c>
      <c r="BL460">
        <v>5417.37</v>
      </c>
      <c r="BM460">
        <v>881.27</v>
      </c>
      <c r="BP460" s="3">
        <v>45645</v>
      </c>
      <c r="BQ460">
        <v>6187.56</v>
      </c>
    </row>
    <row r="461" spans="1:71" x14ac:dyDescent="0.25">
      <c r="A461" t="s">
        <v>622</v>
      </c>
      <c r="B461" t="s">
        <v>127</v>
      </c>
      <c r="C461" s="2">
        <f>HYPERLINK("https://szao.dolgi.msk.ru/account/3470467231/", 3470467231)</f>
        <v>3470467231</v>
      </c>
      <c r="D461" t="s">
        <v>29</v>
      </c>
      <c r="E461">
        <v>123580.34</v>
      </c>
      <c r="AX461">
        <v>58.56</v>
      </c>
      <c r="AY461">
        <v>49.1</v>
      </c>
      <c r="AZ461" t="s">
        <v>56</v>
      </c>
      <c r="BA461" t="s">
        <v>36</v>
      </c>
      <c r="BB461">
        <v>123580.34</v>
      </c>
      <c r="BC461">
        <v>123580.34</v>
      </c>
      <c r="BD461">
        <v>123580.34</v>
      </c>
      <c r="BE461">
        <v>123580.34</v>
      </c>
      <c r="BF461">
        <v>121063.36</v>
      </c>
      <c r="BG461">
        <v>30816.47</v>
      </c>
      <c r="BH461">
        <v>15877.38</v>
      </c>
      <c r="BI461">
        <v>0</v>
      </c>
      <c r="BJ461">
        <v>0</v>
      </c>
      <c r="BK461">
        <v>11803.55</v>
      </c>
      <c r="BL461">
        <v>57708.85</v>
      </c>
      <c r="BM461">
        <v>7374.09</v>
      </c>
      <c r="BP461" s="3">
        <v>45626</v>
      </c>
      <c r="BQ461">
        <v>0</v>
      </c>
      <c r="BR461" s="3">
        <v>45400</v>
      </c>
      <c r="BS461" t="s">
        <v>128</v>
      </c>
    </row>
    <row r="462" spans="1:71" x14ac:dyDescent="0.25">
      <c r="A462" t="s">
        <v>622</v>
      </c>
      <c r="B462" t="s">
        <v>364</v>
      </c>
      <c r="C462" s="2">
        <f>HYPERLINK("https://szao.dolgi.msk.ru/account/3470467389/", 3470467389)</f>
        <v>3470467389</v>
      </c>
      <c r="D462" t="s">
        <v>29</v>
      </c>
      <c r="E462">
        <v>119921.33</v>
      </c>
      <c r="AX462">
        <v>21.98</v>
      </c>
      <c r="AY462">
        <v>23.54</v>
      </c>
      <c r="AZ462" t="s">
        <v>45</v>
      </c>
      <c r="BA462" t="s">
        <v>36</v>
      </c>
      <c r="BB462">
        <v>119921.33</v>
      </c>
      <c r="BC462">
        <v>119921.33</v>
      </c>
      <c r="BD462">
        <v>119921.33</v>
      </c>
      <c r="BE462">
        <v>119921.33</v>
      </c>
      <c r="BF462">
        <v>114951.24</v>
      </c>
      <c r="BG462">
        <v>18838.7</v>
      </c>
      <c r="BH462">
        <v>31907.21</v>
      </c>
      <c r="BI462">
        <v>0</v>
      </c>
      <c r="BJ462">
        <v>0</v>
      </c>
      <c r="BK462">
        <v>24386.21</v>
      </c>
      <c r="BL462">
        <v>36286</v>
      </c>
      <c r="BM462">
        <v>8503.2099999999991</v>
      </c>
      <c r="BN462">
        <v>124.09</v>
      </c>
      <c r="BP462" s="3">
        <v>45693</v>
      </c>
      <c r="BQ462">
        <v>124.09</v>
      </c>
      <c r="BR462" s="3">
        <v>45079</v>
      </c>
      <c r="BS462" t="s">
        <v>623</v>
      </c>
    </row>
    <row r="463" spans="1:71" x14ac:dyDescent="0.25">
      <c r="A463" t="s">
        <v>624</v>
      </c>
      <c r="B463" t="s">
        <v>98</v>
      </c>
      <c r="C463" s="2">
        <f>HYPERLINK("https://szao.dolgi.msk.ru/account/3470130452/", 3470130452)</f>
        <v>3470130452</v>
      </c>
      <c r="D463" t="s">
        <v>29</v>
      </c>
      <c r="E463">
        <v>16271.25</v>
      </c>
      <c r="AX463">
        <v>2.9</v>
      </c>
      <c r="AY463">
        <v>2.94</v>
      </c>
      <c r="AZ463" t="s">
        <v>30</v>
      </c>
      <c r="BA463" t="s">
        <v>31</v>
      </c>
      <c r="BB463">
        <v>16271.25</v>
      </c>
      <c r="BC463">
        <v>16271.25</v>
      </c>
      <c r="BD463">
        <v>16271.25</v>
      </c>
      <c r="BE463">
        <v>16271.25</v>
      </c>
      <c r="BF463">
        <v>10733.21</v>
      </c>
      <c r="BG463">
        <v>3527.23</v>
      </c>
      <c r="BH463">
        <v>1255.8</v>
      </c>
      <c r="BI463">
        <v>3397.44</v>
      </c>
      <c r="BJ463">
        <v>956.8</v>
      </c>
      <c r="BK463">
        <v>1698.67</v>
      </c>
      <c r="BL463">
        <v>4533.03</v>
      </c>
      <c r="BM463">
        <v>902.28</v>
      </c>
      <c r="BP463" s="3">
        <v>45608</v>
      </c>
      <c r="BQ463">
        <v>9461.01</v>
      </c>
    </row>
    <row r="464" spans="1:71" x14ac:dyDescent="0.25">
      <c r="A464" t="s">
        <v>624</v>
      </c>
      <c r="B464" t="s">
        <v>364</v>
      </c>
      <c r="C464" s="2">
        <f>HYPERLINK("https://szao.dolgi.msk.ru/account/3470130487/", 3470130487)</f>
        <v>3470130487</v>
      </c>
      <c r="D464" t="s">
        <v>29</v>
      </c>
      <c r="E464">
        <v>29383.23</v>
      </c>
      <c r="AX464">
        <v>2.91</v>
      </c>
      <c r="AY464">
        <v>2.93</v>
      </c>
      <c r="AZ464" t="s">
        <v>69</v>
      </c>
      <c r="BA464" t="s">
        <v>31</v>
      </c>
      <c r="BB464">
        <v>29383.23</v>
      </c>
      <c r="BC464">
        <v>29383.23</v>
      </c>
      <c r="BD464">
        <v>29383.23</v>
      </c>
      <c r="BE464">
        <v>29383.23</v>
      </c>
      <c r="BF464">
        <v>19362.599999999999</v>
      </c>
      <c r="BG464">
        <v>3621.87</v>
      </c>
      <c r="BH464">
        <v>3732.42</v>
      </c>
      <c r="BI464">
        <v>9067.98</v>
      </c>
      <c r="BJ464">
        <v>2553.75</v>
      </c>
      <c r="BK464">
        <v>4826.07</v>
      </c>
      <c r="BL464">
        <v>4654.6499999999996</v>
      </c>
      <c r="BM464">
        <v>926.49</v>
      </c>
      <c r="BP464" s="3">
        <v>45587</v>
      </c>
      <c r="BQ464">
        <v>55396.27</v>
      </c>
      <c r="BR464" s="3">
        <v>45638</v>
      </c>
      <c r="BS464" t="s">
        <v>625</v>
      </c>
    </row>
    <row r="465" spans="1:71" x14ac:dyDescent="0.25">
      <c r="A465" t="s">
        <v>624</v>
      </c>
      <c r="B465" t="s">
        <v>296</v>
      </c>
      <c r="C465" s="2">
        <f>HYPERLINK("https://szao.dolgi.msk.ru/account/3470130532/", 3470130532)</f>
        <v>3470130532</v>
      </c>
      <c r="D465" t="s">
        <v>29</v>
      </c>
      <c r="E465">
        <v>27826.12</v>
      </c>
      <c r="AX465">
        <v>2.77</v>
      </c>
      <c r="AY465">
        <v>2.77</v>
      </c>
      <c r="AZ465" t="s">
        <v>30</v>
      </c>
      <c r="BA465" t="s">
        <v>31</v>
      </c>
      <c r="BB465">
        <v>27826.12</v>
      </c>
      <c r="BC465">
        <v>27826.12</v>
      </c>
      <c r="BD465">
        <v>27826.12</v>
      </c>
      <c r="BE465">
        <v>27826.12</v>
      </c>
      <c r="BF465">
        <v>18322.919999999998</v>
      </c>
      <c r="BG465">
        <v>3647.68</v>
      </c>
      <c r="BH465">
        <v>3732.42</v>
      </c>
      <c r="BI465">
        <v>9067.98</v>
      </c>
      <c r="BJ465">
        <v>2553.75</v>
      </c>
      <c r="BK465">
        <v>4826.07</v>
      </c>
      <c r="BL465">
        <v>3065.13</v>
      </c>
      <c r="BM465">
        <v>933.09</v>
      </c>
      <c r="BP465" s="3">
        <v>45623</v>
      </c>
      <c r="BQ465">
        <v>27581.13</v>
      </c>
    </row>
    <row r="466" spans="1:71" x14ac:dyDescent="0.25">
      <c r="A466" t="s">
        <v>624</v>
      </c>
      <c r="B466" t="s">
        <v>293</v>
      </c>
      <c r="C466" s="2">
        <f>HYPERLINK("https://szao.dolgi.msk.ru/account/3470130823/", 3470130823)</f>
        <v>3470130823</v>
      </c>
      <c r="D466" t="s">
        <v>29</v>
      </c>
      <c r="E466">
        <v>348110.21</v>
      </c>
      <c r="AX466">
        <v>23.79</v>
      </c>
      <c r="AY466">
        <v>20.76</v>
      </c>
      <c r="AZ466" t="s">
        <v>40</v>
      </c>
      <c r="BA466" t="s">
        <v>36</v>
      </c>
      <c r="BB466">
        <v>348110.21</v>
      </c>
      <c r="BC466">
        <v>348110.21</v>
      </c>
      <c r="BD466">
        <v>368976.53</v>
      </c>
      <c r="BE466">
        <v>368976.53</v>
      </c>
      <c r="BF466">
        <v>343625.05</v>
      </c>
      <c r="BG466">
        <v>-20866.32</v>
      </c>
      <c r="BH466">
        <v>55751.94</v>
      </c>
      <c r="BI466">
        <v>137975.25</v>
      </c>
      <c r="BJ466">
        <v>43504.24</v>
      </c>
      <c r="BK466">
        <v>62232.480000000003</v>
      </c>
      <c r="BL466">
        <v>58066.04</v>
      </c>
      <c r="BM466">
        <v>11446.58</v>
      </c>
      <c r="BN466">
        <v>12285.67</v>
      </c>
      <c r="BP466" s="3">
        <v>45690</v>
      </c>
      <c r="BQ466">
        <v>12285.67</v>
      </c>
      <c r="BR466" s="3">
        <v>45666</v>
      </c>
      <c r="BS466" t="s">
        <v>626</v>
      </c>
    </row>
    <row r="467" spans="1:71" x14ac:dyDescent="0.25">
      <c r="A467" t="s">
        <v>624</v>
      </c>
      <c r="B467" t="s">
        <v>627</v>
      </c>
      <c r="C467" s="2">
        <f>HYPERLINK("https://szao.dolgi.msk.ru/account/3470130962/", 3470130962)</f>
        <v>3470130962</v>
      </c>
      <c r="D467" t="s">
        <v>29</v>
      </c>
      <c r="E467">
        <v>9901.36</v>
      </c>
      <c r="AX467">
        <v>2.17</v>
      </c>
      <c r="AY467">
        <v>1.58</v>
      </c>
      <c r="AZ467" t="s">
        <v>40</v>
      </c>
      <c r="BA467" t="s">
        <v>31</v>
      </c>
      <c r="BB467">
        <v>9901.36</v>
      </c>
      <c r="BC467">
        <v>9901.36</v>
      </c>
      <c r="BD467">
        <v>9901.36</v>
      </c>
      <c r="BE467">
        <v>9901.36</v>
      </c>
      <c r="BF467">
        <v>7089.58</v>
      </c>
      <c r="BG467">
        <v>1074.6500000000001</v>
      </c>
      <c r="BH467">
        <v>851.29</v>
      </c>
      <c r="BI467">
        <v>5160.91</v>
      </c>
      <c r="BJ467">
        <v>975.65</v>
      </c>
      <c r="BK467">
        <v>1453.06</v>
      </c>
      <c r="BL467">
        <v>0</v>
      </c>
      <c r="BM467">
        <v>385.8</v>
      </c>
      <c r="BN467">
        <v>3440.23</v>
      </c>
      <c r="BO467">
        <v>5493.03</v>
      </c>
      <c r="BP467" s="3">
        <v>45690</v>
      </c>
      <c r="BQ467">
        <v>3440.23</v>
      </c>
      <c r="BR467" s="3">
        <v>45573</v>
      </c>
      <c r="BS467" t="s">
        <v>628</v>
      </c>
    </row>
    <row r="468" spans="1:71" x14ac:dyDescent="0.25">
      <c r="A468" t="s">
        <v>629</v>
      </c>
      <c r="B468" t="s">
        <v>105</v>
      </c>
      <c r="C468" s="2">
        <f>HYPERLINK("https://szao.dolgi.msk.ru/account/3470131375/", 3470131375)</f>
        <v>3470131375</v>
      </c>
      <c r="D468" t="s">
        <v>29</v>
      </c>
      <c r="E468">
        <v>22984.959999999999</v>
      </c>
      <c r="AX468">
        <v>2.59</v>
      </c>
      <c r="AY468">
        <v>2.62</v>
      </c>
      <c r="AZ468" t="s">
        <v>69</v>
      </c>
      <c r="BA468" t="s">
        <v>31</v>
      </c>
      <c r="BB468">
        <v>22984.959999999999</v>
      </c>
      <c r="BC468">
        <v>22984.959999999999</v>
      </c>
      <c r="BD468">
        <v>22984.959999999999</v>
      </c>
      <c r="BE468">
        <v>22984.959999999999</v>
      </c>
      <c r="BF468">
        <v>15202.94</v>
      </c>
      <c r="BG468">
        <v>4209.34</v>
      </c>
      <c r="BH468">
        <v>3032.17</v>
      </c>
      <c r="BI468">
        <v>5430.54</v>
      </c>
      <c r="BJ468">
        <v>1539.52</v>
      </c>
      <c r="BK468">
        <v>3496.91</v>
      </c>
      <c r="BL468">
        <v>4214.6400000000003</v>
      </c>
      <c r="BM468">
        <v>1061.8399999999999</v>
      </c>
      <c r="BP468" s="3">
        <v>45621</v>
      </c>
      <c r="BQ468">
        <v>3225.77</v>
      </c>
      <c r="BR468" s="3">
        <v>45637</v>
      </c>
      <c r="BS468" t="s">
        <v>630</v>
      </c>
    </row>
    <row r="469" spans="1:71" x14ac:dyDescent="0.25">
      <c r="A469" t="s">
        <v>629</v>
      </c>
      <c r="B469" t="s">
        <v>197</v>
      </c>
      <c r="C469" s="2">
        <f>HYPERLINK("https://szao.dolgi.msk.ru/account/3470331561/", 3470331561)</f>
        <v>3470331561</v>
      </c>
      <c r="D469" t="s">
        <v>29</v>
      </c>
      <c r="E469">
        <v>33381.08</v>
      </c>
      <c r="AX469">
        <v>13.89</v>
      </c>
      <c r="AY469">
        <v>13.22</v>
      </c>
      <c r="AZ469" t="s">
        <v>40</v>
      </c>
      <c r="BA469" t="s">
        <v>36</v>
      </c>
      <c r="BB469">
        <v>33381.08</v>
      </c>
      <c r="BC469">
        <v>33381.08</v>
      </c>
      <c r="BD469">
        <v>33425.24</v>
      </c>
      <c r="BE469">
        <v>33425.24</v>
      </c>
      <c r="BF469">
        <v>30856.5</v>
      </c>
      <c r="BG469">
        <v>10949.28</v>
      </c>
      <c r="BH469">
        <v>-7.94</v>
      </c>
      <c r="BI469">
        <v>-20.96</v>
      </c>
      <c r="BJ469">
        <v>-5.43</v>
      </c>
      <c r="BK469">
        <v>-9.83</v>
      </c>
      <c r="BL469">
        <v>19270.03</v>
      </c>
      <c r="BM469">
        <v>3205.93</v>
      </c>
      <c r="BP469" s="3">
        <v>45609</v>
      </c>
      <c r="BQ469">
        <v>2272.4899999999998</v>
      </c>
    </row>
    <row r="470" spans="1:71" x14ac:dyDescent="0.25">
      <c r="A470" t="s">
        <v>631</v>
      </c>
      <c r="B470" t="s">
        <v>385</v>
      </c>
      <c r="C470" s="2">
        <f>HYPERLINK("https://szao.dolgi.msk.ru/account/3470131957/", 3470131957)</f>
        <v>3470131957</v>
      </c>
      <c r="D470" t="s">
        <v>29</v>
      </c>
      <c r="E470">
        <v>25650.240000000002</v>
      </c>
      <c r="AX470">
        <v>5.0599999999999996</v>
      </c>
      <c r="AY470">
        <v>4.57</v>
      </c>
      <c r="AZ470" t="s">
        <v>142</v>
      </c>
      <c r="BA470" t="s">
        <v>49</v>
      </c>
      <c r="BB470">
        <v>25650.240000000002</v>
      </c>
      <c r="BC470">
        <v>25650.240000000002</v>
      </c>
      <c r="BD470">
        <v>25650.240000000002</v>
      </c>
      <c r="BE470">
        <v>25650.240000000002</v>
      </c>
      <c r="BF470">
        <v>20036.349999999999</v>
      </c>
      <c r="BG470">
        <v>9065.26</v>
      </c>
      <c r="BH470">
        <v>414.71</v>
      </c>
      <c r="BI470">
        <v>1007.55</v>
      </c>
      <c r="BJ470">
        <v>283.75</v>
      </c>
      <c r="BK470">
        <v>536.23</v>
      </c>
      <c r="BL470">
        <v>11831.4</v>
      </c>
      <c r="BM470">
        <v>2511.34</v>
      </c>
      <c r="BN470">
        <v>22634.9</v>
      </c>
      <c r="BP470" s="3">
        <v>45673</v>
      </c>
      <c r="BQ470">
        <v>22634.9</v>
      </c>
      <c r="BR470" s="3">
        <v>45510</v>
      </c>
      <c r="BS470" t="s">
        <v>632</v>
      </c>
    </row>
    <row r="471" spans="1:71" x14ac:dyDescent="0.25">
      <c r="A471" t="s">
        <v>631</v>
      </c>
      <c r="B471" t="s">
        <v>95</v>
      </c>
      <c r="C471" s="2">
        <f>HYPERLINK("https://szao.dolgi.msk.ru/account/3470132167/", 3470132167)</f>
        <v>3470132167</v>
      </c>
      <c r="D471" t="s">
        <v>29</v>
      </c>
      <c r="E471">
        <v>8672.3700000000008</v>
      </c>
      <c r="AX471">
        <v>2.15</v>
      </c>
      <c r="AY471">
        <v>2.2400000000000002</v>
      </c>
      <c r="AZ471" t="s">
        <v>40</v>
      </c>
      <c r="BA471" t="s">
        <v>31</v>
      </c>
      <c r="BB471">
        <v>8672.3700000000008</v>
      </c>
      <c r="BC471">
        <v>8672.3700000000008</v>
      </c>
      <c r="BD471">
        <v>8672.3700000000008</v>
      </c>
      <c r="BE471">
        <v>8672.3700000000008</v>
      </c>
      <c r="BF471">
        <v>4796.5200000000004</v>
      </c>
      <c r="BG471">
        <v>2611.75</v>
      </c>
      <c r="BH471">
        <v>717.6</v>
      </c>
      <c r="BI471">
        <v>1911.06</v>
      </c>
      <c r="BJ471">
        <v>538.20000000000005</v>
      </c>
      <c r="BK471">
        <v>964.1</v>
      </c>
      <c r="BL471">
        <v>1610.56</v>
      </c>
      <c r="BM471">
        <v>319.10000000000002</v>
      </c>
      <c r="BP471" s="3">
        <v>45638</v>
      </c>
      <c r="BQ471">
        <v>4319.45</v>
      </c>
    </row>
    <row r="472" spans="1:71" x14ac:dyDescent="0.25">
      <c r="A472" t="s">
        <v>631</v>
      </c>
      <c r="B472" t="s">
        <v>627</v>
      </c>
      <c r="C472" s="2">
        <f>HYPERLINK("https://szao.dolgi.msk.ru/account/3470132415/", 3470132415)</f>
        <v>3470132415</v>
      </c>
      <c r="D472" t="s">
        <v>29</v>
      </c>
      <c r="E472">
        <v>276672.59000000003</v>
      </c>
      <c r="AX472">
        <v>48.1</v>
      </c>
      <c r="AY472">
        <v>82.63</v>
      </c>
      <c r="AZ472" t="s">
        <v>40</v>
      </c>
      <c r="BA472" t="s">
        <v>36</v>
      </c>
      <c r="BB472">
        <v>276672.59000000003</v>
      </c>
      <c r="BC472">
        <v>276672.59000000003</v>
      </c>
      <c r="BD472">
        <v>276672.59000000003</v>
      </c>
      <c r="BE472">
        <v>276672.59000000003</v>
      </c>
      <c r="BF472">
        <v>274784.46999999997</v>
      </c>
      <c r="BG472">
        <v>15096.14</v>
      </c>
      <c r="BH472">
        <v>42483.65</v>
      </c>
      <c r="BI472">
        <v>108946.88</v>
      </c>
      <c r="BJ472">
        <v>29318.55</v>
      </c>
      <c r="BK472">
        <v>55984.67</v>
      </c>
      <c r="BL472">
        <v>20474.64</v>
      </c>
      <c r="BM472">
        <v>4368.0600000000004</v>
      </c>
      <c r="BN472">
        <v>1460.02</v>
      </c>
      <c r="BO472">
        <v>3348.14</v>
      </c>
      <c r="BP472" s="3">
        <v>45693</v>
      </c>
      <c r="BQ472">
        <v>1460.02</v>
      </c>
      <c r="BR472" s="3">
        <v>45666</v>
      </c>
      <c r="BS472" t="s">
        <v>633</v>
      </c>
    </row>
    <row r="473" spans="1:71" x14ac:dyDescent="0.25">
      <c r="A473" t="s">
        <v>634</v>
      </c>
      <c r="B473" t="s">
        <v>635</v>
      </c>
      <c r="C473" s="2">
        <f>HYPERLINK("https://szao.dolgi.msk.ru/account/3470133063/", 3470133063)</f>
        <v>3470133063</v>
      </c>
      <c r="D473" t="s">
        <v>29</v>
      </c>
      <c r="E473">
        <v>8400.39</v>
      </c>
      <c r="AX473">
        <v>2.34</v>
      </c>
      <c r="AY473">
        <v>2.17</v>
      </c>
      <c r="AZ473" t="s">
        <v>69</v>
      </c>
      <c r="BA473" t="s">
        <v>31</v>
      </c>
      <c r="BB473">
        <v>8400.39</v>
      </c>
      <c r="BC473">
        <v>8400.39</v>
      </c>
      <c r="BD473">
        <v>10937.43</v>
      </c>
      <c r="BE473">
        <v>10937.43</v>
      </c>
      <c r="BF473">
        <v>5364.42</v>
      </c>
      <c r="BG473">
        <v>3733.71</v>
      </c>
      <c r="BH473">
        <v>-440</v>
      </c>
      <c r="BI473">
        <v>-1191.07</v>
      </c>
      <c r="BJ473">
        <v>-313.43</v>
      </c>
      <c r="BK473">
        <v>-592.54</v>
      </c>
      <c r="BL473">
        <v>6248.61</v>
      </c>
      <c r="BM473">
        <v>955.11</v>
      </c>
      <c r="BP473" s="3">
        <v>45583</v>
      </c>
      <c r="BQ473">
        <v>7058.42</v>
      </c>
    </row>
    <row r="474" spans="1:71" x14ac:dyDescent="0.25">
      <c r="A474" t="s">
        <v>634</v>
      </c>
      <c r="B474" t="s">
        <v>636</v>
      </c>
      <c r="C474" s="2">
        <f>HYPERLINK("https://szao.dolgi.msk.ru/account/3470133098/", 3470133098)</f>
        <v>3470133098</v>
      </c>
      <c r="D474" t="s">
        <v>29</v>
      </c>
      <c r="E474">
        <v>148853.68</v>
      </c>
      <c r="AX474">
        <v>28.67</v>
      </c>
      <c r="AY474">
        <v>22.36</v>
      </c>
      <c r="AZ474" t="s">
        <v>56</v>
      </c>
      <c r="BA474" t="s">
        <v>36</v>
      </c>
      <c r="BB474">
        <v>148853.68</v>
      </c>
      <c r="BC474">
        <v>147468.06</v>
      </c>
      <c r="BD474">
        <v>148853.68</v>
      </c>
      <c r="BE474">
        <v>147468.06</v>
      </c>
      <c r="BF474">
        <v>142196.60999999999</v>
      </c>
      <c r="BG474">
        <v>38443.83</v>
      </c>
      <c r="BH474">
        <v>11092</v>
      </c>
      <c r="BI474">
        <v>11112.96</v>
      </c>
      <c r="BJ474">
        <v>7118.78</v>
      </c>
      <c r="BK474">
        <v>7663.99</v>
      </c>
      <c r="BL474">
        <v>64695.42</v>
      </c>
      <c r="BM474">
        <v>8726.7000000000007</v>
      </c>
      <c r="BP474" s="3">
        <v>45268</v>
      </c>
      <c r="BQ474">
        <v>0</v>
      </c>
      <c r="BR474" s="3">
        <v>44952</v>
      </c>
      <c r="BS474" t="s">
        <v>637</v>
      </c>
    </row>
    <row r="475" spans="1:71" x14ac:dyDescent="0.25">
      <c r="A475" t="s">
        <v>634</v>
      </c>
      <c r="B475" t="s">
        <v>638</v>
      </c>
      <c r="C475" s="2">
        <f>HYPERLINK("https://szao.dolgi.msk.ru/account/3470133215/", 3470133215)</f>
        <v>3470133215</v>
      </c>
      <c r="D475" t="s">
        <v>29</v>
      </c>
      <c r="E475">
        <v>236912.62</v>
      </c>
      <c r="AX475">
        <v>27.84</v>
      </c>
      <c r="AY475">
        <v>22.41</v>
      </c>
      <c r="AZ475" t="s">
        <v>56</v>
      </c>
      <c r="BA475" t="s">
        <v>36</v>
      </c>
      <c r="BB475">
        <v>236912.62</v>
      </c>
      <c r="BC475">
        <v>236912.62</v>
      </c>
      <c r="BD475">
        <v>236912.62</v>
      </c>
      <c r="BE475">
        <v>236912.62</v>
      </c>
      <c r="BF475">
        <v>226342.62</v>
      </c>
      <c r="BG475">
        <v>32884.949999999997</v>
      </c>
      <c r="BH475">
        <v>24946.13</v>
      </c>
      <c r="BI475">
        <v>49954.89</v>
      </c>
      <c r="BJ475">
        <v>22104.29</v>
      </c>
      <c r="BK475">
        <v>12664.86</v>
      </c>
      <c r="BL475">
        <v>82748.87</v>
      </c>
      <c r="BM475">
        <v>11608.63</v>
      </c>
      <c r="BP475" s="3">
        <v>45596</v>
      </c>
      <c r="BQ475">
        <v>0</v>
      </c>
      <c r="BR475" s="3">
        <v>45699</v>
      </c>
      <c r="BS475" t="s">
        <v>639</v>
      </c>
    </row>
    <row r="476" spans="1:71" x14ac:dyDescent="0.25">
      <c r="A476" t="s">
        <v>634</v>
      </c>
      <c r="B476" t="s">
        <v>299</v>
      </c>
      <c r="C476" s="2">
        <f>HYPERLINK("https://szao.dolgi.msk.ru/account/3470132685/", 3470132685)</f>
        <v>3470132685</v>
      </c>
      <c r="D476" t="s">
        <v>29</v>
      </c>
      <c r="E476">
        <v>347152.61</v>
      </c>
      <c r="AX476">
        <v>17.559999999999999</v>
      </c>
      <c r="AY476">
        <v>14.3</v>
      </c>
      <c r="AZ476" t="s">
        <v>69</v>
      </c>
      <c r="BA476" t="s">
        <v>36</v>
      </c>
      <c r="BB476">
        <v>347152.61</v>
      </c>
      <c r="BC476">
        <v>347152.61</v>
      </c>
      <c r="BD476">
        <v>347152.61</v>
      </c>
      <c r="BE476">
        <v>347152.61</v>
      </c>
      <c r="BF476">
        <v>322878.87</v>
      </c>
      <c r="BG476">
        <v>22567.47</v>
      </c>
      <c r="BH476">
        <v>50858.16</v>
      </c>
      <c r="BI476">
        <v>127851.71</v>
      </c>
      <c r="BJ476">
        <v>34399.96</v>
      </c>
      <c r="BK476">
        <v>66164.009999999995</v>
      </c>
      <c r="BL476">
        <v>38622.480000000003</v>
      </c>
      <c r="BM476">
        <v>6688.82</v>
      </c>
      <c r="BP476" s="3">
        <v>45596</v>
      </c>
      <c r="BQ476">
        <v>23904.59</v>
      </c>
    </row>
    <row r="477" spans="1:71" x14ac:dyDescent="0.25">
      <c r="A477" t="s">
        <v>640</v>
      </c>
      <c r="B477" t="s">
        <v>602</v>
      </c>
      <c r="C477" s="2">
        <f>HYPERLINK("https://szao.dolgi.msk.ru/account/3470455222/", 3470455222)</f>
        <v>3470455222</v>
      </c>
      <c r="D477" t="s">
        <v>29</v>
      </c>
      <c r="E477">
        <v>80212.509999999995</v>
      </c>
      <c r="AX477">
        <v>7.66</v>
      </c>
      <c r="AY477">
        <v>7.42</v>
      </c>
      <c r="AZ477" t="s">
        <v>40</v>
      </c>
      <c r="BA477" t="s">
        <v>66</v>
      </c>
      <c r="BB477">
        <v>80212.509999999995</v>
      </c>
      <c r="BC477">
        <v>80212.509999999995</v>
      </c>
      <c r="BD477">
        <v>80212.509999999995</v>
      </c>
      <c r="BE477">
        <v>80212.509999999995</v>
      </c>
      <c r="BF477">
        <v>69853.17</v>
      </c>
      <c r="BG477">
        <v>9987.68</v>
      </c>
      <c r="BH477">
        <v>8836.48</v>
      </c>
      <c r="BI477">
        <v>28310.47</v>
      </c>
      <c r="BJ477">
        <v>8071.8</v>
      </c>
      <c r="BK477">
        <v>4666.51</v>
      </c>
      <c r="BL477">
        <v>16087.18</v>
      </c>
      <c r="BM477">
        <v>4252.3900000000003</v>
      </c>
      <c r="BN477">
        <v>0</v>
      </c>
      <c r="BP477" s="3">
        <v>45677</v>
      </c>
      <c r="BQ477">
        <v>0</v>
      </c>
      <c r="BR477" s="3">
        <v>45257</v>
      </c>
      <c r="BS477" t="s">
        <v>641</v>
      </c>
    </row>
    <row r="478" spans="1:71" x14ac:dyDescent="0.25">
      <c r="A478" t="s">
        <v>640</v>
      </c>
      <c r="B478" t="s">
        <v>374</v>
      </c>
      <c r="C478" s="2">
        <f>HYPERLINK("https://szao.dolgi.msk.ru/account/3470455302/", 3470455302)</f>
        <v>3470455302</v>
      </c>
      <c r="D478" t="s">
        <v>29</v>
      </c>
      <c r="E478">
        <v>89066.22</v>
      </c>
      <c r="AX478">
        <v>15.52</v>
      </c>
      <c r="AY478">
        <v>9.43</v>
      </c>
      <c r="AZ478" t="s">
        <v>56</v>
      </c>
      <c r="BA478" t="s">
        <v>36</v>
      </c>
      <c r="BB478">
        <v>89066.22</v>
      </c>
      <c r="BC478">
        <v>89066.22</v>
      </c>
      <c r="BD478">
        <v>89066.22</v>
      </c>
      <c r="BE478">
        <v>89066.22</v>
      </c>
      <c r="BF478">
        <v>79621.850000000006</v>
      </c>
      <c r="BG478">
        <v>12336</v>
      </c>
      <c r="BH478">
        <v>11565.83</v>
      </c>
      <c r="BI478">
        <v>30345.46</v>
      </c>
      <c r="BJ478">
        <v>8342.33</v>
      </c>
      <c r="BK478">
        <v>4450.1400000000003</v>
      </c>
      <c r="BL478">
        <v>18475.2</v>
      </c>
      <c r="BM478">
        <v>3551.26</v>
      </c>
      <c r="BP478" s="3">
        <v>45279</v>
      </c>
      <c r="BQ478">
        <v>4466.3900000000003</v>
      </c>
      <c r="BR478" s="3">
        <v>45699</v>
      </c>
      <c r="BS478" t="s">
        <v>642</v>
      </c>
    </row>
    <row r="479" spans="1:71" x14ac:dyDescent="0.25">
      <c r="A479" t="s">
        <v>643</v>
      </c>
      <c r="B479" t="s">
        <v>385</v>
      </c>
      <c r="C479" s="2">
        <f>HYPERLINK("https://szao.dolgi.msk.ru/account/3470449201/", 3470449201)</f>
        <v>3470449201</v>
      </c>
      <c r="D479" t="s">
        <v>29</v>
      </c>
      <c r="E479">
        <v>37711.089999999997</v>
      </c>
      <c r="AX479">
        <v>13.7</v>
      </c>
      <c r="AY479">
        <v>12.27</v>
      </c>
      <c r="AZ479" t="s">
        <v>40</v>
      </c>
      <c r="BA479" t="s">
        <v>36</v>
      </c>
      <c r="BB479">
        <v>37711.089999999997</v>
      </c>
      <c r="BC479">
        <v>37711.089999999997</v>
      </c>
      <c r="BD479">
        <v>37711.089999999997</v>
      </c>
      <c r="BE479">
        <v>37711.089999999997</v>
      </c>
      <c r="BF479">
        <v>34638.81</v>
      </c>
      <c r="BG479">
        <v>3707.87</v>
      </c>
      <c r="BH479">
        <v>263.77999999999997</v>
      </c>
      <c r="BI479">
        <v>10544.94</v>
      </c>
      <c r="BJ479">
        <v>8815.2099999999991</v>
      </c>
      <c r="BK479">
        <v>6598.41</v>
      </c>
      <c r="BL479">
        <v>6809.64</v>
      </c>
      <c r="BM479">
        <v>971.24</v>
      </c>
      <c r="BP479" s="3">
        <v>45598</v>
      </c>
      <c r="BQ479">
        <v>2805.49</v>
      </c>
      <c r="BR479" s="3">
        <v>44533</v>
      </c>
      <c r="BS479" t="s">
        <v>644</v>
      </c>
    </row>
    <row r="480" spans="1:71" x14ac:dyDescent="0.25">
      <c r="A480" t="s">
        <v>643</v>
      </c>
      <c r="B480" t="s">
        <v>309</v>
      </c>
      <c r="C480" s="2">
        <f>HYPERLINK("https://szao.dolgi.msk.ru/account/3470449244/", 3470449244)</f>
        <v>3470449244</v>
      </c>
      <c r="D480" t="s">
        <v>29</v>
      </c>
      <c r="E480">
        <v>54889.9</v>
      </c>
      <c r="AX480">
        <v>31.57</v>
      </c>
      <c r="AY480">
        <v>33.4</v>
      </c>
      <c r="AZ480" t="s">
        <v>30</v>
      </c>
      <c r="BA480" t="s">
        <v>36</v>
      </c>
      <c r="BB480">
        <v>54889.9</v>
      </c>
      <c r="BC480">
        <v>54889.9</v>
      </c>
      <c r="BD480">
        <v>55343.82</v>
      </c>
      <c r="BE480">
        <v>55343.82</v>
      </c>
      <c r="BF480">
        <v>53261.440000000002</v>
      </c>
      <c r="BG480">
        <v>19086.060000000001</v>
      </c>
      <c r="BH480">
        <v>73.5</v>
      </c>
      <c r="BI480">
        <v>837.66</v>
      </c>
      <c r="BJ480">
        <v>218.63</v>
      </c>
      <c r="BK480">
        <v>-453.92</v>
      </c>
      <c r="BL480">
        <v>30417.19</v>
      </c>
      <c r="BM480">
        <v>4710.78</v>
      </c>
      <c r="BN480">
        <v>3089.3</v>
      </c>
      <c r="BP480" s="3">
        <v>45672</v>
      </c>
      <c r="BQ480">
        <v>2301.27</v>
      </c>
      <c r="BR480" s="3">
        <v>45693</v>
      </c>
      <c r="BS480" t="s">
        <v>407</v>
      </c>
    </row>
    <row r="481" spans="1:71" x14ac:dyDescent="0.25">
      <c r="A481" t="s">
        <v>643</v>
      </c>
      <c r="B481" t="s">
        <v>103</v>
      </c>
      <c r="C481" s="2">
        <f>HYPERLINK("https://szao.dolgi.msk.ru/account/3470449383/", 3470449383)</f>
        <v>3470449383</v>
      </c>
      <c r="D481" t="s">
        <v>29</v>
      </c>
      <c r="E481">
        <v>16620.669999999998</v>
      </c>
      <c r="AX481">
        <v>5.67</v>
      </c>
      <c r="AY481">
        <v>6.31</v>
      </c>
      <c r="AZ481" t="s">
        <v>40</v>
      </c>
      <c r="BA481" t="s">
        <v>49</v>
      </c>
      <c r="BB481">
        <v>16620.669999999998</v>
      </c>
      <c r="BC481">
        <v>16620.669999999998</v>
      </c>
      <c r="BD481">
        <v>16620.669999999998</v>
      </c>
      <c r="BE481">
        <v>16620.669999999998</v>
      </c>
      <c r="BF481">
        <v>14287.85</v>
      </c>
      <c r="BG481">
        <v>3687.04</v>
      </c>
      <c r="BH481">
        <v>2057.96</v>
      </c>
      <c r="BI481">
        <v>2787.08</v>
      </c>
      <c r="BJ481">
        <v>770.71</v>
      </c>
      <c r="BK481">
        <v>2179.56</v>
      </c>
      <c r="BL481">
        <v>4302.95</v>
      </c>
      <c r="BM481">
        <v>835.37</v>
      </c>
      <c r="BN481">
        <v>15877.1</v>
      </c>
      <c r="BP481" s="3">
        <v>45671</v>
      </c>
      <c r="BQ481">
        <v>15877.1</v>
      </c>
      <c r="BR481" s="3">
        <v>45257</v>
      </c>
      <c r="BS481" t="s">
        <v>645</v>
      </c>
    </row>
    <row r="482" spans="1:71" x14ac:dyDescent="0.25">
      <c r="A482" t="s">
        <v>643</v>
      </c>
      <c r="B482" t="s">
        <v>279</v>
      </c>
      <c r="C482" s="2">
        <f>HYPERLINK("https://szao.dolgi.msk.ru/account/3470443731/", 3470443731)</f>
        <v>3470443731</v>
      </c>
      <c r="D482" t="s">
        <v>29</v>
      </c>
      <c r="E482">
        <v>10164.120000000001</v>
      </c>
      <c r="AX482">
        <v>4.0599999999999996</v>
      </c>
      <c r="AY482">
        <v>4.59</v>
      </c>
      <c r="AZ482" t="s">
        <v>488</v>
      </c>
      <c r="BA482" t="s">
        <v>49</v>
      </c>
      <c r="BB482">
        <v>10164.120000000001</v>
      </c>
      <c r="BC482">
        <v>10164.120000000001</v>
      </c>
      <c r="BD482">
        <v>10164.120000000001</v>
      </c>
      <c r="BE482">
        <v>10164.120000000001</v>
      </c>
      <c r="BF482">
        <v>7948.62</v>
      </c>
      <c r="BG482">
        <v>3232.61</v>
      </c>
      <c r="BH482">
        <v>0</v>
      </c>
      <c r="BI482">
        <v>0</v>
      </c>
      <c r="BJ482">
        <v>0</v>
      </c>
      <c r="BK482">
        <v>0</v>
      </c>
      <c r="BL482">
        <v>6056.98</v>
      </c>
      <c r="BM482">
        <v>874.53</v>
      </c>
      <c r="BP482" s="3">
        <v>45602</v>
      </c>
      <c r="BQ482">
        <v>19633.46</v>
      </c>
      <c r="BR482" s="3">
        <v>45638</v>
      </c>
      <c r="BS482" t="s">
        <v>646</v>
      </c>
    </row>
    <row r="483" spans="1:71" x14ac:dyDescent="0.25">
      <c r="A483" t="s">
        <v>643</v>
      </c>
      <c r="B483" t="s">
        <v>279</v>
      </c>
      <c r="C483" s="2">
        <f>HYPERLINK("https://szao.dolgi.msk.ru/account/3470449439/", 3470449439)</f>
        <v>3470449439</v>
      </c>
      <c r="D483" t="s">
        <v>29</v>
      </c>
      <c r="E483">
        <v>7628.13</v>
      </c>
      <c r="AX483">
        <v>4.63</v>
      </c>
      <c r="AY483">
        <v>4.6100000000000003</v>
      </c>
      <c r="AZ483" t="s">
        <v>30</v>
      </c>
      <c r="BA483" t="s">
        <v>49</v>
      </c>
      <c r="BB483">
        <v>7628.13</v>
      </c>
      <c r="BC483">
        <v>7628.13</v>
      </c>
      <c r="BD483">
        <v>7628.13</v>
      </c>
      <c r="BE483">
        <v>7628.13</v>
      </c>
      <c r="BF483">
        <v>5973.18</v>
      </c>
      <c r="BG483">
        <v>2460.71</v>
      </c>
      <c r="BH483">
        <v>5.52</v>
      </c>
      <c r="BI483">
        <v>22.52</v>
      </c>
      <c r="BJ483">
        <v>5.7</v>
      </c>
      <c r="BK483">
        <v>10.56</v>
      </c>
      <c r="BL483">
        <v>4469.84</v>
      </c>
      <c r="BM483">
        <v>653.28</v>
      </c>
      <c r="BP483" s="3">
        <v>45610</v>
      </c>
      <c r="BQ483">
        <v>1543.91</v>
      </c>
    </row>
    <row r="484" spans="1:71" x14ac:dyDescent="0.25">
      <c r="A484" t="s">
        <v>647</v>
      </c>
      <c r="B484" t="s">
        <v>27</v>
      </c>
      <c r="C484" s="2">
        <f>HYPERLINK("https://szao.dolgi.msk.ru/account/3470135413/", 3470135413)</f>
        <v>3470135413</v>
      </c>
      <c r="D484" t="s">
        <v>29</v>
      </c>
      <c r="E484">
        <v>7378.35</v>
      </c>
      <c r="AX484">
        <v>4.3499999999999996</v>
      </c>
      <c r="AY484">
        <v>1.51</v>
      </c>
      <c r="AZ484" t="s">
        <v>30</v>
      </c>
      <c r="BA484" t="s">
        <v>49</v>
      </c>
      <c r="BB484">
        <v>7378.35</v>
      </c>
      <c r="BC484">
        <v>6820.85</v>
      </c>
      <c r="BD484">
        <v>23978.720000000001</v>
      </c>
      <c r="BE484">
        <v>23588.54</v>
      </c>
      <c r="BF484">
        <v>2503.6799999999998</v>
      </c>
      <c r="BG484">
        <v>7382.71</v>
      </c>
      <c r="BH484">
        <v>588.34</v>
      </c>
      <c r="BI484">
        <v>849.56</v>
      </c>
      <c r="BJ484">
        <v>213.06</v>
      </c>
      <c r="BK484">
        <v>-16600.37</v>
      </c>
      <c r="BL484">
        <v>13697.28</v>
      </c>
      <c r="BM484">
        <v>1247.77</v>
      </c>
      <c r="BO484">
        <v>4675.7299999999996</v>
      </c>
      <c r="BP484" s="3">
        <v>45685</v>
      </c>
      <c r="BQ484">
        <v>4675.7299999999996</v>
      </c>
      <c r="BR484" s="3">
        <v>44967</v>
      </c>
      <c r="BS484" t="s">
        <v>648</v>
      </c>
    </row>
    <row r="485" spans="1:71" x14ac:dyDescent="0.25">
      <c r="A485" t="s">
        <v>647</v>
      </c>
      <c r="B485" t="s">
        <v>197</v>
      </c>
      <c r="C485" s="2">
        <f>HYPERLINK("https://szao.dolgi.msk.ru/account/3470135472/", 3470135472)</f>
        <v>3470135472</v>
      </c>
      <c r="D485" t="s">
        <v>29</v>
      </c>
      <c r="E485">
        <v>12750.58</v>
      </c>
      <c r="AX485">
        <v>2.86</v>
      </c>
      <c r="AY485">
        <v>2.9</v>
      </c>
      <c r="AZ485" t="s">
        <v>30</v>
      </c>
      <c r="BA485" t="s">
        <v>31</v>
      </c>
      <c r="BB485">
        <v>12750.58</v>
      </c>
      <c r="BC485">
        <v>12750.58</v>
      </c>
      <c r="BD485">
        <v>12750.58</v>
      </c>
      <c r="BE485">
        <v>12750.58</v>
      </c>
      <c r="BF485">
        <v>8354.56</v>
      </c>
      <c r="BG485">
        <v>3716.5</v>
      </c>
      <c r="BH485">
        <v>260.8</v>
      </c>
      <c r="BI485">
        <v>365.7</v>
      </c>
      <c r="BJ485">
        <v>102.99</v>
      </c>
      <c r="BK485">
        <v>279.29000000000002</v>
      </c>
      <c r="BL485">
        <v>7074.6</v>
      </c>
      <c r="BM485">
        <v>950.7</v>
      </c>
      <c r="BP485" s="3">
        <v>45624</v>
      </c>
      <c r="BQ485">
        <v>7770.54</v>
      </c>
    </row>
    <row r="486" spans="1:71" x14ac:dyDescent="0.25">
      <c r="A486" t="s">
        <v>647</v>
      </c>
      <c r="B486" t="s">
        <v>129</v>
      </c>
      <c r="C486" s="2">
        <f>HYPERLINK("https://szao.dolgi.msk.ru/account/3470135659/", 3470135659)</f>
        <v>3470135659</v>
      </c>
      <c r="D486" t="s">
        <v>29</v>
      </c>
      <c r="E486">
        <v>35306.85</v>
      </c>
      <c r="AX486">
        <v>6.89</v>
      </c>
      <c r="AY486">
        <v>7.67</v>
      </c>
      <c r="AZ486" t="s">
        <v>69</v>
      </c>
      <c r="BA486" t="s">
        <v>66</v>
      </c>
      <c r="BB486">
        <v>35306.85</v>
      </c>
      <c r="BC486">
        <v>35306.85</v>
      </c>
      <c r="BD486">
        <v>35306.85</v>
      </c>
      <c r="BE486">
        <v>35306.85</v>
      </c>
      <c r="BF486">
        <v>33789.67</v>
      </c>
      <c r="BG486">
        <v>3209.71</v>
      </c>
      <c r="BH486">
        <v>4325.9399999999996</v>
      </c>
      <c r="BI486">
        <v>11516.1</v>
      </c>
      <c r="BJ486">
        <v>3243.2</v>
      </c>
      <c r="BK486">
        <v>5811.05</v>
      </c>
      <c r="BL486">
        <v>6347.8</v>
      </c>
      <c r="BM486">
        <v>853.05</v>
      </c>
      <c r="BP486" s="3">
        <v>45538</v>
      </c>
      <c r="BQ486">
        <v>5820.37</v>
      </c>
    </row>
    <row r="487" spans="1:71" x14ac:dyDescent="0.25">
      <c r="A487" t="s">
        <v>647</v>
      </c>
      <c r="B487" t="s">
        <v>129</v>
      </c>
      <c r="C487" s="2">
        <f>HYPERLINK("https://szao.dolgi.msk.ru/account/3470457412/", 3470457412)</f>
        <v>3470457412</v>
      </c>
      <c r="D487" t="s">
        <v>29</v>
      </c>
      <c r="E487">
        <v>4105.78</v>
      </c>
      <c r="AX487">
        <v>7.37</v>
      </c>
      <c r="AY487">
        <v>7.36</v>
      </c>
      <c r="AZ487" t="s">
        <v>45</v>
      </c>
      <c r="BA487" t="s">
        <v>66</v>
      </c>
      <c r="BB487">
        <v>4105.78</v>
      </c>
      <c r="BC487">
        <v>4105.78</v>
      </c>
      <c r="BD487">
        <v>4105.78</v>
      </c>
      <c r="BE487">
        <v>4105.78</v>
      </c>
      <c r="BF487">
        <v>3547.76</v>
      </c>
      <c r="BG487">
        <v>1255.75</v>
      </c>
      <c r="BH487">
        <v>0</v>
      </c>
      <c r="BI487">
        <v>0</v>
      </c>
      <c r="BJ487">
        <v>0</v>
      </c>
      <c r="BK487">
        <v>0</v>
      </c>
      <c r="BL487">
        <v>2509.06</v>
      </c>
      <c r="BM487">
        <v>340.97</v>
      </c>
      <c r="BP487" s="3">
        <v>45435</v>
      </c>
      <c r="BQ487">
        <v>949.83</v>
      </c>
    </row>
    <row r="488" spans="1:71" x14ac:dyDescent="0.25">
      <c r="A488" t="s">
        <v>647</v>
      </c>
      <c r="B488" t="s">
        <v>129</v>
      </c>
      <c r="C488" s="2">
        <f>HYPERLINK("https://szao.dolgi.msk.ru/account/3470532937/", 3470532937)</f>
        <v>3470532937</v>
      </c>
      <c r="D488" t="s">
        <v>29</v>
      </c>
      <c r="E488">
        <v>6073.29</v>
      </c>
      <c r="AX488">
        <v>4.91</v>
      </c>
      <c r="AY488">
        <v>5.28</v>
      </c>
      <c r="AZ488" t="s">
        <v>30</v>
      </c>
      <c r="BA488" t="s">
        <v>49</v>
      </c>
      <c r="BB488">
        <v>6073.29</v>
      </c>
      <c r="BC488">
        <v>6073.29</v>
      </c>
      <c r="BD488">
        <v>6073.29</v>
      </c>
      <c r="BE488">
        <v>6073.29</v>
      </c>
      <c r="BF488">
        <v>5693.99</v>
      </c>
      <c r="BG488">
        <v>651.30999999999995</v>
      </c>
      <c r="BH488">
        <v>666.77</v>
      </c>
      <c r="BI488">
        <v>1871.47</v>
      </c>
      <c r="BJ488">
        <v>527.04999999999995</v>
      </c>
      <c r="BK488">
        <v>916.53</v>
      </c>
      <c r="BL488">
        <v>1269.56</v>
      </c>
      <c r="BM488">
        <v>170.6</v>
      </c>
      <c r="BP488" s="3">
        <v>45602</v>
      </c>
      <c r="BQ488">
        <v>5567.63</v>
      </c>
    </row>
    <row r="489" spans="1:71" x14ac:dyDescent="0.25">
      <c r="A489" t="s">
        <v>649</v>
      </c>
      <c r="B489" t="s">
        <v>28</v>
      </c>
      <c r="C489" s="2">
        <f>HYPERLINK("https://szao.dolgi.msk.ru/account/3470606254/", 3470606254)</f>
        <v>3470606254</v>
      </c>
      <c r="D489" t="s">
        <v>29</v>
      </c>
      <c r="E489">
        <v>18666.2</v>
      </c>
      <c r="AX489">
        <v>3.6</v>
      </c>
      <c r="AY489">
        <v>3.58</v>
      </c>
      <c r="AZ489" t="s">
        <v>40</v>
      </c>
      <c r="BA489" t="s">
        <v>49</v>
      </c>
      <c r="BB489">
        <v>18666.2</v>
      </c>
      <c r="BC489">
        <v>18666.2</v>
      </c>
      <c r="BD489">
        <v>18666.2</v>
      </c>
      <c r="BE489">
        <v>18666.2</v>
      </c>
      <c r="BF489">
        <v>13458.61</v>
      </c>
      <c r="BG489">
        <v>3383.01</v>
      </c>
      <c r="BH489">
        <v>1682.65</v>
      </c>
      <c r="BI489">
        <v>3558.18</v>
      </c>
      <c r="BJ489">
        <v>1002.08</v>
      </c>
      <c r="BK489">
        <v>2061.12</v>
      </c>
      <c r="BL489">
        <v>6093</v>
      </c>
      <c r="BM489">
        <v>886.16</v>
      </c>
      <c r="BN489">
        <v>5223.6099999999997</v>
      </c>
      <c r="BP489" s="3">
        <v>45680</v>
      </c>
      <c r="BQ489">
        <v>5223.6099999999997</v>
      </c>
      <c r="BR489" s="3">
        <v>45618</v>
      </c>
      <c r="BS489" t="s">
        <v>650</v>
      </c>
    </row>
    <row r="490" spans="1:71" x14ac:dyDescent="0.25">
      <c r="A490" t="s">
        <v>649</v>
      </c>
      <c r="B490" t="s">
        <v>287</v>
      </c>
      <c r="C490" s="2">
        <f>HYPERLINK("https://szao.dolgi.msk.ru/account/3470136002/", 3470136002)</f>
        <v>3470136002</v>
      </c>
      <c r="D490" t="s">
        <v>29</v>
      </c>
      <c r="E490">
        <v>56319.040000000001</v>
      </c>
      <c r="AX490">
        <v>7.06</v>
      </c>
      <c r="AY490">
        <v>6.99</v>
      </c>
      <c r="AZ490" t="s">
        <v>69</v>
      </c>
      <c r="BA490" t="s">
        <v>66</v>
      </c>
      <c r="BB490">
        <v>56319.040000000001</v>
      </c>
      <c r="BC490">
        <v>56319.040000000001</v>
      </c>
      <c r="BD490">
        <v>56319.040000000001</v>
      </c>
      <c r="BE490">
        <v>56319.040000000001</v>
      </c>
      <c r="BF490">
        <v>48267.15</v>
      </c>
      <c r="BG490">
        <v>9222.33</v>
      </c>
      <c r="BH490">
        <v>5115.8999999999996</v>
      </c>
      <c r="BI490">
        <v>12550.54</v>
      </c>
      <c r="BJ490">
        <v>3470.4</v>
      </c>
      <c r="BK490">
        <v>6635.41</v>
      </c>
      <c r="BL490">
        <v>16822</v>
      </c>
      <c r="BM490">
        <v>2502.46</v>
      </c>
      <c r="BP490" s="3">
        <v>45580</v>
      </c>
      <c r="BQ490">
        <v>6328.89</v>
      </c>
      <c r="BR490" s="3">
        <v>45638</v>
      </c>
      <c r="BS490" t="s">
        <v>477</v>
      </c>
    </row>
    <row r="491" spans="1:71" x14ac:dyDescent="0.25">
      <c r="A491" t="s">
        <v>651</v>
      </c>
      <c r="B491" t="s">
        <v>48</v>
      </c>
      <c r="C491" s="2">
        <f>HYPERLINK("https://szao.dolgi.msk.ru/account/3470125936/", 3470125936)</f>
        <v>3470125936</v>
      </c>
      <c r="D491" t="s">
        <v>29</v>
      </c>
      <c r="E491">
        <v>36161.47</v>
      </c>
      <c r="AX491">
        <v>3.89</v>
      </c>
      <c r="AY491">
        <v>3.92</v>
      </c>
      <c r="AZ491" t="s">
        <v>40</v>
      </c>
      <c r="BA491" t="s">
        <v>49</v>
      </c>
      <c r="BB491">
        <v>36161.47</v>
      </c>
      <c r="BC491">
        <v>36161.47</v>
      </c>
      <c r="BD491">
        <v>36161.47</v>
      </c>
      <c r="BE491">
        <v>36161.47</v>
      </c>
      <c r="BF491">
        <v>26935.05</v>
      </c>
      <c r="BG491">
        <v>3753.27</v>
      </c>
      <c r="BH491">
        <v>4976.5600000000004</v>
      </c>
      <c r="BI491">
        <v>12076.03</v>
      </c>
      <c r="BJ491">
        <v>3400.89</v>
      </c>
      <c r="BK491">
        <v>6431.6</v>
      </c>
      <c r="BL491">
        <v>4654.5600000000004</v>
      </c>
      <c r="BM491">
        <v>868.56</v>
      </c>
      <c r="BP491" s="3">
        <v>45602</v>
      </c>
      <c r="BQ491">
        <v>4493.8500000000004</v>
      </c>
      <c r="BR491" s="3">
        <v>45153</v>
      </c>
      <c r="BS491" t="s">
        <v>652</v>
      </c>
    </row>
    <row r="492" spans="1:71" x14ac:dyDescent="0.25">
      <c r="A492" t="s">
        <v>651</v>
      </c>
      <c r="B492" t="s">
        <v>225</v>
      </c>
      <c r="C492" s="2">
        <f>HYPERLINK("https://szao.dolgi.msk.ru/account/3470126007/", 3470126007)</f>
        <v>3470126007</v>
      </c>
      <c r="D492" t="s">
        <v>29</v>
      </c>
      <c r="E492">
        <v>23152.44</v>
      </c>
      <c r="AX492">
        <v>4.6100000000000003</v>
      </c>
      <c r="AY492">
        <v>4.6100000000000003</v>
      </c>
      <c r="AZ492" t="s">
        <v>69</v>
      </c>
      <c r="BA492" t="s">
        <v>49</v>
      </c>
      <c r="BB492">
        <v>23152.44</v>
      </c>
      <c r="BC492">
        <v>23152.44</v>
      </c>
      <c r="BD492">
        <v>23152.44</v>
      </c>
      <c r="BE492">
        <v>23152.44</v>
      </c>
      <c r="BF492">
        <v>18132.95</v>
      </c>
      <c r="BG492">
        <v>7451.68</v>
      </c>
      <c r="BH492">
        <v>1466.21</v>
      </c>
      <c r="BI492">
        <v>1324.18</v>
      </c>
      <c r="BJ492">
        <v>372.92</v>
      </c>
      <c r="BK492">
        <v>1411.95</v>
      </c>
      <c r="BL492">
        <v>9375.9500000000007</v>
      </c>
      <c r="BM492">
        <v>1749.55</v>
      </c>
      <c r="BP492" s="3">
        <v>45546</v>
      </c>
      <c r="BQ492">
        <v>4898.79</v>
      </c>
    </row>
    <row r="493" spans="1:71" x14ac:dyDescent="0.25">
      <c r="A493" t="s">
        <v>651</v>
      </c>
      <c r="B493" t="s">
        <v>352</v>
      </c>
      <c r="C493" s="2">
        <f>HYPERLINK("https://szao.dolgi.msk.ru/account/3470126162/", 3470126162)</f>
        <v>3470126162</v>
      </c>
      <c r="D493" t="s">
        <v>29</v>
      </c>
      <c r="E493">
        <v>53005.55</v>
      </c>
      <c r="AX493">
        <v>8.36</v>
      </c>
      <c r="AY493">
        <v>8.2100000000000009</v>
      </c>
      <c r="AZ493" t="s">
        <v>45</v>
      </c>
      <c r="BA493" t="s">
        <v>66</v>
      </c>
      <c r="BB493">
        <v>53005.55</v>
      </c>
      <c r="BC493">
        <v>53005.55</v>
      </c>
      <c r="BD493">
        <v>53005.55</v>
      </c>
      <c r="BE493">
        <v>53005.55</v>
      </c>
      <c r="BF493">
        <v>46545.55</v>
      </c>
      <c r="BG493">
        <v>9769.2999999999993</v>
      </c>
      <c r="BH493">
        <v>8011.07</v>
      </c>
      <c r="BI493">
        <v>9666.98</v>
      </c>
      <c r="BJ493">
        <v>2662.03</v>
      </c>
      <c r="BK493">
        <v>8234.35</v>
      </c>
      <c r="BL493">
        <v>12303.25</v>
      </c>
      <c r="BM493">
        <v>2358.5700000000002</v>
      </c>
      <c r="BP493" s="3">
        <v>45379</v>
      </c>
      <c r="BQ493">
        <v>4309.59</v>
      </c>
      <c r="BR493" s="3">
        <v>45699</v>
      </c>
      <c r="BS493" t="s">
        <v>653</v>
      </c>
    </row>
    <row r="494" spans="1:71" x14ac:dyDescent="0.25">
      <c r="A494" t="s">
        <v>654</v>
      </c>
      <c r="B494" t="s">
        <v>247</v>
      </c>
      <c r="C494" s="2">
        <f>HYPERLINK("https://szao.dolgi.msk.ru/account/3470126875/", 3470126875)</f>
        <v>3470126875</v>
      </c>
      <c r="D494" t="s">
        <v>29</v>
      </c>
      <c r="E494">
        <v>16745.599999999999</v>
      </c>
      <c r="AX494">
        <v>3.08</v>
      </c>
      <c r="AY494">
        <v>3.17</v>
      </c>
      <c r="AZ494" t="s">
        <v>30</v>
      </c>
      <c r="BA494" t="s">
        <v>49</v>
      </c>
      <c r="BB494">
        <v>16745.599999999999</v>
      </c>
      <c r="BC494">
        <v>16745.599999999999</v>
      </c>
      <c r="BD494">
        <v>16745.599999999999</v>
      </c>
      <c r="BE494">
        <v>16745.599999999999</v>
      </c>
      <c r="BF494">
        <v>11458.73</v>
      </c>
      <c r="BG494">
        <v>4197.07</v>
      </c>
      <c r="BH494">
        <v>1052.48</v>
      </c>
      <c r="BI494">
        <v>2760.42</v>
      </c>
      <c r="BJ494">
        <v>777.4</v>
      </c>
      <c r="BK494">
        <v>1404.85</v>
      </c>
      <c r="BL494">
        <v>5604.87</v>
      </c>
      <c r="BM494">
        <v>948.51</v>
      </c>
      <c r="BP494" s="3">
        <v>45615</v>
      </c>
      <c r="BQ494">
        <v>19438.23</v>
      </c>
    </row>
    <row r="495" spans="1:71" x14ac:dyDescent="0.25">
      <c r="A495" t="s">
        <v>654</v>
      </c>
      <c r="B495" t="s">
        <v>88</v>
      </c>
      <c r="C495" s="2">
        <f>HYPERLINK("https://szao.dolgi.msk.ru/account/3470126971/", 3470126971)</f>
        <v>3470126971</v>
      </c>
      <c r="D495" t="s">
        <v>29</v>
      </c>
      <c r="E495">
        <v>146686.53</v>
      </c>
      <c r="AX495">
        <v>14.88</v>
      </c>
      <c r="AY495">
        <v>13.8</v>
      </c>
      <c r="AZ495" t="s">
        <v>40</v>
      </c>
      <c r="BA495" t="s">
        <v>36</v>
      </c>
      <c r="BB495">
        <v>146686.53</v>
      </c>
      <c r="BC495">
        <v>146686.53</v>
      </c>
      <c r="BD495">
        <v>146686.53</v>
      </c>
      <c r="BE495">
        <v>146686.53</v>
      </c>
      <c r="BF495">
        <v>136060.72</v>
      </c>
      <c r="BG495">
        <v>15553.5</v>
      </c>
      <c r="BH495">
        <v>17688.759999999998</v>
      </c>
      <c r="BI495">
        <v>45448.1</v>
      </c>
      <c r="BJ495">
        <v>10977.61</v>
      </c>
      <c r="BK495">
        <v>20676.48</v>
      </c>
      <c r="BL495">
        <v>29279.19</v>
      </c>
      <c r="BM495">
        <v>7062.89</v>
      </c>
      <c r="BN495">
        <v>10227.26</v>
      </c>
      <c r="BP495" s="3">
        <v>45673</v>
      </c>
      <c r="BQ495">
        <v>10227.26</v>
      </c>
      <c r="BR495" s="3">
        <v>45639</v>
      </c>
      <c r="BS495" t="s">
        <v>655</v>
      </c>
    </row>
    <row r="496" spans="1:71" x14ac:dyDescent="0.25">
      <c r="A496" t="s">
        <v>656</v>
      </c>
      <c r="B496" t="s">
        <v>502</v>
      </c>
      <c r="C496" s="2">
        <f>HYPERLINK("https://szao.dolgi.msk.ru/account/3470127261/", 3470127261)</f>
        <v>3470127261</v>
      </c>
      <c r="D496" t="s">
        <v>29</v>
      </c>
      <c r="E496">
        <v>341322.67</v>
      </c>
      <c r="AX496">
        <v>36.19</v>
      </c>
      <c r="AY496">
        <v>31.65</v>
      </c>
      <c r="AZ496" t="s">
        <v>40</v>
      </c>
      <c r="BA496" t="s">
        <v>36</v>
      </c>
      <c r="BB496">
        <v>341322.67</v>
      </c>
      <c r="BC496">
        <v>341322.67</v>
      </c>
      <c r="BD496">
        <v>341322.67</v>
      </c>
      <c r="BE496">
        <v>341322.67</v>
      </c>
      <c r="BF496">
        <v>330538.14</v>
      </c>
      <c r="BG496">
        <v>77750.31</v>
      </c>
      <c r="BH496">
        <v>34975</v>
      </c>
      <c r="BI496">
        <v>52959.41</v>
      </c>
      <c r="BJ496">
        <v>24337.95</v>
      </c>
      <c r="BK496">
        <v>35688.370000000003</v>
      </c>
      <c r="BL496">
        <v>104861.17</v>
      </c>
      <c r="BM496">
        <v>10750.46</v>
      </c>
      <c r="BN496">
        <v>0</v>
      </c>
      <c r="BP496" s="3">
        <v>45692</v>
      </c>
      <c r="BQ496">
        <v>0</v>
      </c>
      <c r="BR496" s="3">
        <v>45574</v>
      </c>
      <c r="BS496" t="s">
        <v>657</v>
      </c>
    </row>
    <row r="497" spans="1:71" x14ac:dyDescent="0.25">
      <c r="A497" t="s">
        <v>658</v>
      </c>
      <c r="B497" t="s">
        <v>34</v>
      </c>
      <c r="C497" s="2">
        <f>HYPERLINK("https://szao.dolgi.msk.ru/account/3470127931/", 3470127931)</f>
        <v>3470127931</v>
      </c>
      <c r="D497" t="s">
        <v>29</v>
      </c>
      <c r="E497">
        <v>8684.74</v>
      </c>
      <c r="AX497">
        <v>2.48</v>
      </c>
      <c r="AY497">
        <v>2.33</v>
      </c>
      <c r="AZ497" t="s">
        <v>30</v>
      </c>
      <c r="BA497" t="s">
        <v>31</v>
      </c>
      <c r="BB497">
        <v>8684.74</v>
      </c>
      <c r="BC497">
        <v>8684.74</v>
      </c>
      <c r="BD497">
        <v>8684.74</v>
      </c>
      <c r="BE497">
        <v>8684.74</v>
      </c>
      <c r="BF497">
        <v>4952.72</v>
      </c>
      <c r="BG497">
        <v>3289.85</v>
      </c>
      <c r="BH497">
        <v>179.4</v>
      </c>
      <c r="BI497">
        <v>318.51</v>
      </c>
      <c r="BJ497">
        <v>89.7</v>
      </c>
      <c r="BK497">
        <v>206.6</v>
      </c>
      <c r="BL497">
        <v>3881.49</v>
      </c>
      <c r="BM497">
        <v>719.19</v>
      </c>
      <c r="BP497" s="3">
        <v>45646</v>
      </c>
      <c r="BQ497">
        <v>8768.2800000000007</v>
      </c>
      <c r="BR497" s="3">
        <v>45271</v>
      </c>
      <c r="BS497" t="s">
        <v>659</v>
      </c>
    </row>
    <row r="498" spans="1:71" x14ac:dyDescent="0.25">
      <c r="A498" t="s">
        <v>658</v>
      </c>
      <c r="B498" t="s">
        <v>80</v>
      </c>
      <c r="C498" s="2">
        <f>HYPERLINK("https://szao.dolgi.msk.ru/account/3470128205/", 3470128205)</f>
        <v>3470128205</v>
      </c>
      <c r="D498" t="s">
        <v>29</v>
      </c>
      <c r="E498">
        <v>824.08</v>
      </c>
      <c r="AX498">
        <v>3.37</v>
      </c>
      <c r="AY498">
        <v>0.21</v>
      </c>
      <c r="AZ498" t="s">
        <v>40</v>
      </c>
      <c r="BA498" t="s">
        <v>49</v>
      </c>
      <c r="BB498">
        <v>824.08</v>
      </c>
      <c r="BC498">
        <v>824.08</v>
      </c>
      <c r="BD498">
        <v>20257.830000000002</v>
      </c>
      <c r="BE498">
        <v>20257.830000000002</v>
      </c>
      <c r="BF498">
        <v>-3081.06</v>
      </c>
      <c r="BG498">
        <v>7484.37</v>
      </c>
      <c r="BH498">
        <v>3017.3</v>
      </c>
      <c r="BI498">
        <v>-15067.68</v>
      </c>
      <c r="BJ498">
        <v>-3909.35</v>
      </c>
      <c r="BK498">
        <v>-456.72</v>
      </c>
      <c r="BL498">
        <v>8798.4</v>
      </c>
      <c r="BM498">
        <v>957.76</v>
      </c>
      <c r="BO498">
        <v>3905.14</v>
      </c>
      <c r="BP498" s="3">
        <v>45685</v>
      </c>
      <c r="BQ498">
        <v>3905.14</v>
      </c>
      <c r="BR498" s="3">
        <v>45358</v>
      </c>
      <c r="BS498" t="s">
        <v>660</v>
      </c>
    </row>
    <row r="499" spans="1:71" x14ac:dyDescent="0.25">
      <c r="A499" t="s">
        <v>658</v>
      </c>
      <c r="B499" t="s">
        <v>127</v>
      </c>
      <c r="C499" s="2">
        <f>HYPERLINK("https://szao.dolgi.msk.ru/account/3470128504/", 3470128504)</f>
        <v>3470128504</v>
      </c>
      <c r="D499" t="s">
        <v>29</v>
      </c>
      <c r="E499">
        <v>18231.37</v>
      </c>
      <c r="AX499">
        <v>2.97</v>
      </c>
      <c r="AY499">
        <v>3.35</v>
      </c>
      <c r="AZ499" t="s">
        <v>40</v>
      </c>
      <c r="BA499" t="s">
        <v>31</v>
      </c>
      <c r="BB499">
        <v>18231.37</v>
      </c>
      <c r="BC499">
        <v>18231.37</v>
      </c>
      <c r="BD499">
        <v>18231.37</v>
      </c>
      <c r="BE499">
        <v>18231.37</v>
      </c>
      <c r="BF499">
        <v>12786.18</v>
      </c>
      <c r="BG499">
        <v>3010.63</v>
      </c>
      <c r="BH499">
        <v>1554.8</v>
      </c>
      <c r="BI499">
        <v>5308.5</v>
      </c>
      <c r="BJ499">
        <v>1495</v>
      </c>
      <c r="BK499">
        <v>2341.42</v>
      </c>
      <c r="BL499">
        <v>3871.08</v>
      </c>
      <c r="BM499">
        <v>649.94000000000005</v>
      </c>
      <c r="BP499" s="3">
        <v>45643</v>
      </c>
      <c r="BQ499">
        <v>7277.65</v>
      </c>
    </row>
    <row r="500" spans="1:71" x14ac:dyDescent="0.25">
      <c r="A500" t="s">
        <v>658</v>
      </c>
      <c r="B500" t="s">
        <v>27</v>
      </c>
      <c r="C500" s="2">
        <f>HYPERLINK("https://szao.dolgi.msk.ru/account/3470128299/", 3470128299)</f>
        <v>3470128299</v>
      </c>
      <c r="D500" t="s">
        <v>29</v>
      </c>
      <c r="E500">
        <v>106202.52</v>
      </c>
      <c r="AX500">
        <v>37.130000000000003</v>
      </c>
      <c r="AY500">
        <v>26.95</v>
      </c>
      <c r="AZ500" t="s">
        <v>56</v>
      </c>
      <c r="BA500" t="s">
        <v>36</v>
      </c>
      <c r="BB500">
        <v>106202.52</v>
      </c>
      <c r="BC500">
        <v>106202.52</v>
      </c>
      <c r="BD500">
        <v>111013.48</v>
      </c>
      <c r="BE500">
        <v>111013.48</v>
      </c>
      <c r="BF500">
        <v>102261.56</v>
      </c>
      <c r="BG500">
        <v>42758.32</v>
      </c>
      <c r="BH500">
        <v>0</v>
      </c>
      <c r="BI500">
        <v>-81.790000000000006</v>
      </c>
      <c r="BJ500">
        <v>0</v>
      </c>
      <c r="BK500">
        <v>-4729.17</v>
      </c>
      <c r="BL500">
        <v>59580.77</v>
      </c>
      <c r="BM500">
        <v>8674.39</v>
      </c>
      <c r="BP500" s="3">
        <v>45118</v>
      </c>
      <c r="BQ500">
        <v>3165.79</v>
      </c>
      <c r="BR500" s="3">
        <v>45699</v>
      </c>
      <c r="BS500" t="s">
        <v>661</v>
      </c>
    </row>
    <row r="501" spans="1:71" x14ac:dyDescent="0.25">
      <c r="A501" t="s">
        <v>662</v>
      </c>
      <c r="B501" t="s">
        <v>552</v>
      </c>
      <c r="C501" s="2">
        <f>HYPERLINK("https://szao.dolgi.msk.ru/account/3470128993/", 3470128993)</f>
        <v>3470128993</v>
      </c>
      <c r="D501" t="s">
        <v>29</v>
      </c>
      <c r="E501">
        <v>382596.41</v>
      </c>
      <c r="AX501">
        <v>19.39</v>
      </c>
      <c r="AY501">
        <v>16.579999999999998</v>
      </c>
      <c r="AZ501" t="s">
        <v>56</v>
      </c>
      <c r="BA501" t="s">
        <v>36</v>
      </c>
      <c r="BB501">
        <v>382596.41</v>
      </c>
      <c r="BC501">
        <v>382596.41</v>
      </c>
      <c r="BD501">
        <v>382596.41</v>
      </c>
      <c r="BE501">
        <v>382596.41</v>
      </c>
      <c r="BF501">
        <v>359522.27</v>
      </c>
      <c r="BG501">
        <v>68384.36</v>
      </c>
      <c r="BH501">
        <v>72218.240000000005</v>
      </c>
      <c r="BI501">
        <v>65488.24</v>
      </c>
      <c r="BJ501">
        <v>20884.66</v>
      </c>
      <c r="BK501">
        <v>50508.59</v>
      </c>
      <c r="BL501">
        <v>89589.18</v>
      </c>
      <c r="BM501">
        <v>15523.14</v>
      </c>
      <c r="BP501" s="3">
        <v>45533</v>
      </c>
      <c r="BQ501">
        <v>0</v>
      </c>
      <c r="BR501" s="3">
        <v>45419</v>
      </c>
      <c r="BS501" t="s">
        <v>663</v>
      </c>
    </row>
    <row r="502" spans="1:71" x14ac:dyDescent="0.25">
      <c r="A502" t="s">
        <v>662</v>
      </c>
      <c r="B502" t="s">
        <v>85</v>
      </c>
      <c r="C502" s="2">
        <f>HYPERLINK("https://szao.dolgi.msk.ru/account/3470302234/", 3470302234)</f>
        <v>3470302234</v>
      </c>
      <c r="D502" t="s">
        <v>29</v>
      </c>
      <c r="E502">
        <v>45231.71</v>
      </c>
      <c r="AX502">
        <v>32.51</v>
      </c>
      <c r="AY502">
        <v>32.43</v>
      </c>
      <c r="AZ502" t="s">
        <v>56</v>
      </c>
      <c r="BA502" t="s">
        <v>36</v>
      </c>
      <c r="BB502">
        <v>45231.71</v>
      </c>
      <c r="BC502">
        <v>45231.71</v>
      </c>
      <c r="BD502">
        <v>45231.71</v>
      </c>
      <c r="BE502">
        <v>45231.71</v>
      </c>
      <c r="BF502">
        <v>43837.14</v>
      </c>
      <c r="BG502">
        <v>8554.7900000000009</v>
      </c>
      <c r="BH502">
        <v>4471.84</v>
      </c>
      <c r="BI502">
        <v>8250.44</v>
      </c>
      <c r="BJ502">
        <v>3573.39</v>
      </c>
      <c r="BK502">
        <v>4373.42</v>
      </c>
      <c r="BL502">
        <v>12862.66</v>
      </c>
      <c r="BM502">
        <v>3145.17</v>
      </c>
      <c r="BP502" s="3">
        <v>45596</v>
      </c>
      <c r="BQ502">
        <v>0</v>
      </c>
      <c r="BR502" s="3">
        <v>45635</v>
      </c>
      <c r="BS502" t="s">
        <v>664</v>
      </c>
    </row>
    <row r="503" spans="1:71" x14ac:dyDescent="0.25">
      <c r="A503" t="s">
        <v>662</v>
      </c>
      <c r="B503" t="s">
        <v>293</v>
      </c>
      <c r="C503" s="2">
        <f>HYPERLINK("https://szao.dolgi.msk.ru/account/3470129072/", 3470129072)</f>
        <v>3470129072</v>
      </c>
      <c r="D503" t="s">
        <v>29</v>
      </c>
      <c r="E503">
        <v>374337.86</v>
      </c>
      <c r="AX503">
        <v>15.44</v>
      </c>
      <c r="AY503">
        <v>11.63</v>
      </c>
      <c r="AZ503" t="s">
        <v>45</v>
      </c>
      <c r="BA503" t="s">
        <v>36</v>
      </c>
      <c r="BB503">
        <v>374337.86</v>
      </c>
      <c r="BC503">
        <v>374337.86</v>
      </c>
      <c r="BD503">
        <v>378478.15</v>
      </c>
      <c r="BE503">
        <v>378478.15</v>
      </c>
      <c r="BF503">
        <v>352206.22</v>
      </c>
      <c r="BG503">
        <v>-4140.29</v>
      </c>
      <c r="BH503">
        <v>56574.83</v>
      </c>
      <c r="BI503">
        <v>142257.60000000001</v>
      </c>
      <c r="BJ503">
        <v>65381.19</v>
      </c>
      <c r="BK503">
        <v>83902.85</v>
      </c>
      <c r="BL503">
        <v>30247.61</v>
      </c>
      <c r="BM503">
        <v>114.07</v>
      </c>
      <c r="BN503">
        <v>10129.969999999999</v>
      </c>
      <c r="BP503" s="3">
        <v>45696</v>
      </c>
      <c r="BQ503">
        <v>9983.42</v>
      </c>
      <c r="BR503" s="3">
        <v>45666</v>
      </c>
      <c r="BS503" t="s">
        <v>665</v>
      </c>
    </row>
    <row r="504" spans="1:71" x14ac:dyDescent="0.25">
      <c r="A504" t="s">
        <v>662</v>
      </c>
      <c r="B504" t="s">
        <v>27</v>
      </c>
      <c r="C504" s="2">
        <f>HYPERLINK("https://szao.dolgi.msk.ru/account/3470302269/", 3470302269)</f>
        <v>3470302269</v>
      </c>
      <c r="D504" t="s">
        <v>29</v>
      </c>
      <c r="E504">
        <v>35446.33</v>
      </c>
      <c r="AX504">
        <v>7.99</v>
      </c>
      <c r="AY504">
        <v>7.5</v>
      </c>
      <c r="AZ504" t="s">
        <v>30</v>
      </c>
      <c r="BA504" t="s">
        <v>66</v>
      </c>
      <c r="BB504">
        <v>35446.33</v>
      </c>
      <c r="BC504">
        <v>35446.33</v>
      </c>
      <c r="BD504">
        <v>35446.33</v>
      </c>
      <c r="BE504">
        <v>35446.33</v>
      </c>
      <c r="BF504">
        <v>30722.7</v>
      </c>
      <c r="BG504">
        <v>11792.74</v>
      </c>
      <c r="BH504">
        <v>834.51</v>
      </c>
      <c r="BI504">
        <v>1408.85</v>
      </c>
      <c r="BJ504">
        <v>387.38</v>
      </c>
      <c r="BK504">
        <v>967.66</v>
      </c>
      <c r="BL504">
        <v>16648.43</v>
      </c>
      <c r="BM504">
        <v>3406.76</v>
      </c>
      <c r="BN504">
        <v>15151.31</v>
      </c>
      <c r="BP504" s="3">
        <v>45688</v>
      </c>
      <c r="BQ504">
        <v>15151.31</v>
      </c>
      <c r="BR504" s="3">
        <v>45058</v>
      </c>
      <c r="BS504" t="s">
        <v>666</v>
      </c>
    </row>
    <row r="505" spans="1:71" x14ac:dyDescent="0.25">
      <c r="A505" t="s">
        <v>662</v>
      </c>
      <c r="B505" t="s">
        <v>197</v>
      </c>
      <c r="C505" s="2">
        <f>HYPERLINK("https://szao.dolgi.msk.ru/account/3470465746/", 3470465746)</f>
        <v>3470465746</v>
      </c>
      <c r="D505" t="s">
        <v>29</v>
      </c>
      <c r="E505">
        <v>27561.599999999999</v>
      </c>
      <c r="AX505">
        <v>7.71</v>
      </c>
      <c r="AY505">
        <v>7.71</v>
      </c>
      <c r="AZ505" t="s">
        <v>30</v>
      </c>
      <c r="BA505" t="s">
        <v>66</v>
      </c>
      <c r="BB505">
        <v>27561.599999999999</v>
      </c>
      <c r="BC505">
        <v>27561.599999999999</v>
      </c>
      <c r="BD505">
        <v>27561.599999999999</v>
      </c>
      <c r="BE505">
        <v>27561.599999999999</v>
      </c>
      <c r="BF505">
        <v>23985.4</v>
      </c>
      <c r="BG505">
        <v>4014.76</v>
      </c>
      <c r="BH505">
        <v>3547.86</v>
      </c>
      <c r="BI505">
        <v>8781.69</v>
      </c>
      <c r="BJ505">
        <v>2427.48</v>
      </c>
      <c r="BK505">
        <v>4617.93</v>
      </c>
      <c r="BL505">
        <v>3549.7</v>
      </c>
      <c r="BM505">
        <v>622.17999999999995</v>
      </c>
      <c r="BP505" s="3">
        <v>45644</v>
      </c>
      <c r="BQ505">
        <v>3788.55</v>
      </c>
      <c r="BR505" s="3">
        <v>45574</v>
      </c>
      <c r="BS505" t="s">
        <v>667</v>
      </c>
    </row>
    <row r="506" spans="1:71" x14ac:dyDescent="0.25">
      <c r="A506" t="s">
        <v>662</v>
      </c>
      <c r="B506" t="s">
        <v>313</v>
      </c>
      <c r="C506" s="2">
        <f>HYPERLINK("https://szao.dolgi.msk.ru/account/3470302285/", 3470302285)</f>
        <v>3470302285</v>
      </c>
      <c r="D506" t="s">
        <v>29</v>
      </c>
      <c r="E506">
        <v>5597.46</v>
      </c>
      <c r="AX506">
        <v>2.77</v>
      </c>
      <c r="AY506">
        <v>2.78</v>
      </c>
      <c r="AZ506" t="s">
        <v>40</v>
      </c>
      <c r="BA506" t="s">
        <v>31</v>
      </c>
      <c r="BB506">
        <v>5597.46</v>
      </c>
      <c r="BC506">
        <v>5597.46</v>
      </c>
      <c r="BD506">
        <v>5597.46</v>
      </c>
      <c r="BE506">
        <v>5597.46</v>
      </c>
      <c r="BF506">
        <v>3583.79</v>
      </c>
      <c r="BG506">
        <v>2185.73</v>
      </c>
      <c r="BH506">
        <v>0</v>
      </c>
      <c r="BI506">
        <v>0</v>
      </c>
      <c r="BJ506">
        <v>0</v>
      </c>
      <c r="BK506">
        <v>0</v>
      </c>
      <c r="BL506">
        <v>2852.91</v>
      </c>
      <c r="BM506">
        <v>558.82000000000005</v>
      </c>
      <c r="BP506" s="3">
        <v>45654</v>
      </c>
      <c r="BQ506">
        <v>1807.74</v>
      </c>
    </row>
    <row r="507" spans="1:71" x14ac:dyDescent="0.25">
      <c r="A507" t="s">
        <v>662</v>
      </c>
      <c r="B507" t="s">
        <v>284</v>
      </c>
      <c r="C507" s="2">
        <f>HYPERLINK("https://szao.dolgi.msk.ru/account/3470129283/", 3470129283)</f>
        <v>3470129283</v>
      </c>
      <c r="D507" t="s">
        <v>29</v>
      </c>
      <c r="E507">
        <v>94589.89</v>
      </c>
      <c r="AX507">
        <v>9.93</v>
      </c>
      <c r="AY507">
        <v>8.51</v>
      </c>
      <c r="AZ507" t="s">
        <v>40</v>
      </c>
      <c r="BA507" t="s">
        <v>63</v>
      </c>
      <c r="BB507">
        <v>94589.89</v>
      </c>
      <c r="BC507">
        <v>94589.89</v>
      </c>
      <c r="BD507">
        <v>94589.89</v>
      </c>
      <c r="BE507">
        <v>94589.89</v>
      </c>
      <c r="BF507">
        <v>106392.62</v>
      </c>
      <c r="BG507">
        <v>25741.66</v>
      </c>
      <c r="BH507">
        <v>11526.8</v>
      </c>
      <c r="BI507">
        <v>18976.37</v>
      </c>
      <c r="BJ507">
        <v>5195.72</v>
      </c>
      <c r="BK507">
        <v>12986.54</v>
      </c>
      <c r="BL507">
        <v>12845.89</v>
      </c>
      <c r="BM507">
        <v>7316.91</v>
      </c>
      <c r="BN507">
        <v>22911.63</v>
      </c>
      <c r="BP507" s="3">
        <v>45696</v>
      </c>
      <c r="BQ507">
        <v>17188.740000000002</v>
      </c>
      <c r="BR507" s="3">
        <v>45699</v>
      </c>
      <c r="BS507" t="s">
        <v>668</v>
      </c>
    </row>
    <row r="508" spans="1:71" x14ac:dyDescent="0.25">
      <c r="A508" t="s">
        <v>669</v>
      </c>
      <c r="B508" t="s">
        <v>28</v>
      </c>
      <c r="C508" s="2">
        <f>HYPERLINK("https://szao.dolgi.msk.ru/account/3470457228/", 3470457228)</f>
        <v>3470457228</v>
      </c>
      <c r="D508" t="s">
        <v>29</v>
      </c>
      <c r="E508">
        <v>156277.26999999999</v>
      </c>
      <c r="AX508">
        <v>42.59</v>
      </c>
      <c r="AY508">
        <v>34.159999999999997</v>
      </c>
      <c r="AZ508" t="s">
        <v>56</v>
      </c>
      <c r="BA508" t="s">
        <v>36</v>
      </c>
      <c r="BB508">
        <v>156277.26999999999</v>
      </c>
      <c r="BC508">
        <v>156277.26999999999</v>
      </c>
      <c r="BD508">
        <v>156277.26999999999</v>
      </c>
      <c r="BE508">
        <v>156277.26999999999</v>
      </c>
      <c r="BF508">
        <v>151702.66</v>
      </c>
      <c r="BG508">
        <v>32432.15</v>
      </c>
      <c r="BH508">
        <v>17018.93</v>
      </c>
      <c r="BI508">
        <v>26530.06</v>
      </c>
      <c r="BJ508">
        <v>10790.33</v>
      </c>
      <c r="BK508">
        <v>18431.810000000001</v>
      </c>
      <c r="BL508">
        <v>44347.74</v>
      </c>
      <c r="BM508">
        <v>6726.25</v>
      </c>
      <c r="BP508" s="3">
        <v>45504</v>
      </c>
      <c r="BQ508">
        <v>827.9</v>
      </c>
      <c r="BR508" s="3">
        <v>45699</v>
      </c>
      <c r="BS508" t="s">
        <v>670</v>
      </c>
    </row>
    <row r="509" spans="1:71" x14ac:dyDescent="0.25">
      <c r="A509" t="s">
        <v>669</v>
      </c>
      <c r="B509" t="s">
        <v>173</v>
      </c>
      <c r="C509" s="2">
        <f>HYPERLINK("https://szao.dolgi.msk.ru/account/3470140466/", 3470140466)</f>
        <v>3470140466</v>
      </c>
      <c r="D509" t="s">
        <v>29</v>
      </c>
      <c r="E509">
        <v>9328.75</v>
      </c>
      <c r="AX509">
        <v>2.0699999999999998</v>
      </c>
      <c r="AY509">
        <v>2.15</v>
      </c>
      <c r="AZ509" t="s">
        <v>30</v>
      </c>
      <c r="BA509" t="s">
        <v>31</v>
      </c>
      <c r="BB509">
        <v>9328.75</v>
      </c>
      <c r="BC509">
        <v>9239.2000000000007</v>
      </c>
      <c r="BD509">
        <v>9328.75</v>
      </c>
      <c r="BE509">
        <v>9239.2000000000007</v>
      </c>
      <c r="BF509">
        <v>4997.1099999999997</v>
      </c>
      <c r="BG509">
        <v>1924.06</v>
      </c>
      <c r="BH509">
        <v>1614.6</v>
      </c>
      <c r="BI509">
        <v>849.36</v>
      </c>
      <c r="BJ509">
        <v>239.2</v>
      </c>
      <c r="BK509">
        <v>1423.21</v>
      </c>
      <c r="BL509">
        <v>2798.56</v>
      </c>
      <c r="BM509">
        <v>479.76</v>
      </c>
      <c r="BN509">
        <v>3997.98</v>
      </c>
      <c r="BO509">
        <v>4331.6400000000003</v>
      </c>
      <c r="BP509" s="3">
        <v>45680</v>
      </c>
      <c r="BQ509">
        <v>8329.6200000000008</v>
      </c>
    </row>
    <row r="510" spans="1:71" x14ac:dyDescent="0.25">
      <c r="A510" t="s">
        <v>669</v>
      </c>
      <c r="B510" t="s">
        <v>364</v>
      </c>
      <c r="C510" s="2">
        <f>HYPERLINK("https://szao.dolgi.msk.ru/account/3470542078/", 3470542078)</f>
        <v>3470542078</v>
      </c>
      <c r="D510" t="s">
        <v>29</v>
      </c>
      <c r="E510">
        <v>18191.36</v>
      </c>
      <c r="AX510">
        <v>2.15</v>
      </c>
      <c r="AY510">
        <v>2.0299999999999998</v>
      </c>
      <c r="AZ510" t="s">
        <v>30</v>
      </c>
      <c r="BA510" t="s">
        <v>31</v>
      </c>
      <c r="BB510">
        <v>18191.36</v>
      </c>
      <c r="BC510">
        <v>18191.36</v>
      </c>
      <c r="BD510">
        <v>18894.87</v>
      </c>
      <c r="BE510">
        <v>18894.87</v>
      </c>
      <c r="BF510">
        <v>9232.0300000000007</v>
      </c>
      <c r="BG510">
        <v>2033.01</v>
      </c>
      <c r="BH510">
        <v>-703.51</v>
      </c>
      <c r="BI510">
        <v>9295.18</v>
      </c>
      <c r="BJ510">
        <v>2617.7399999999998</v>
      </c>
      <c r="BK510">
        <v>1756.25</v>
      </c>
      <c r="BL510">
        <v>2762.04</v>
      </c>
      <c r="BM510">
        <v>430.65</v>
      </c>
      <c r="BP510" s="3">
        <v>45647</v>
      </c>
      <c r="BQ510">
        <v>8016.52</v>
      </c>
      <c r="BR510" s="3">
        <v>45635</v>
      </c>
      <c r="BS510" t="s">
        <v>671</v>
      </c>
    </row>
    <row r="511" spans="1:71" x14ac:dyDescent="0.25">
      <c r="A511" t="s">
        <v>669</v>
      </c>
      <c r="B511" t="s">
        <v>95</v>
      </c>
      <c r="C511" s="2">
        <f>HYPERLINK("https://szao.dolgi.msk.ru/account/3470140837/", 3470140837)</f>
        <v>3470140837</v>
      </c>
      <c r="D511" t="s">
        <v>29</v>
      </c>
      <c r="E511">
        <v>39361.9</v>
      </c>
      <c r="AX511">
        <v>3.64</v>
      </c>
      <c r="AY511">
        <v>3.54</v>
      </c>
      <c r="AZ511" t="s">
        <v>40</v>
      </c>
      <c r="BA511" t="s">
        <v>49</v>
      </c>
      <c r="BB511">
        <v>39361.9</v>
      </c>
      <c r="BC511">
        <v>39361.9</v>
      </c>
      <c r="BD511">
        <v>39361.9</v>
      </c>
      <c r="BE511">
        <v>39361.9</v>
      </c>
      <c r="BF511">
        <v>28255</v>
      </c>
      <c r="BG511">
        <v>5944.56</v>
      </c>
      <c r="BH511">
        <v>4452.25</v>
      </c>
      <c r="BI511">
        <v>11036.03</v>
      </c>
      <c r="BJ511">
        <v>3045.76</v>
      </c>
      <c r="BK511">
        <v>5798.02</v>
      </c>
      <c r="BL511">
        <v>7718.1</v>
      </c>
      <c r="BM511">
        <v>1367.18</v>
      </c>
      <c r="BP511" s="3">
        <v>45623</v>
      </c>
      <c r="BQ511">
        <v>6219.17</v>
      </c>
      <c r="BR511" s="3">
        <v>45509</v>
      </c>
      <c r="BS511" t="s">
        <v>672</v>
      </c>
    </row>
    <row r="512" spans="1:71" x14ac:dyDescent="0.25">
      <c r="A512" t="s">
        <v>669</v>
      </c>
      <c r="B512" t="s">
        <v>245</v>
      </c>
      <c r="C512" s="2">
        <f>HYPERLINK("https://szao.dolgi.msk.ru/account/3470140933/", 3470140933)</f>
        <v>3470140933</v>
      </c>
      <c r="D512" t="s">
        <v>29</v>
      </c>
      <c r="E512">
        <v>578100.81000000006</v>
      </c>
      <c r="AX512">
        <v>157.76</v>
      </c>
      <c r="AY512">
        <v>198.17</v>
      </c>
      <c r="AZ512" t="s">
        <v>56</v>
      </c>
      <c r="BA512" t="s">
        <v>36</v>
      </c>
      <c r="BB512">
        <v>578100.81000000006</v>
      </c>
      <c r="BC512">
        <v>578100.81000000006</v>
      </c>
      <c r="BD512">
        <v>578100.81000000006</v>
      </c>
      <c r="BE512">
        <v>578100.81000000006</v>
      </c>
      <c r="BF512">
        <v>575183.65</v>
      </c>
      <c r="BG512">
        <v>36170.53</v>
      </c>
      <c r="BH512">
        <v>80591.42</v>
      </c>
      <c r="BI512">
        <v>240226.83</v>
      </c>
      <c r="BJ512">
        <v>64697.81</v>
      </c>
      <c r="BK512">
        <v>86857.74</v>
      </c>
      <c r="BL512">
        <v>60674.46</v>
      </c>
      <c r="BM512">
        <v>8882.02</v>
      </c>
      <c r="BP512" s="3">
        <v>45468</v>
      </c>
      <c r="BQ512">
        <v>0</v>
      </c>
      <c r="BR512" s="3">
        <v>45692</v>
      </c>
      <c r="BS512" t="s">
        <v>128</v>
      </c>
    </row>
    <row r="513" spans="1:71" x14ac:dyDescent="0.25">
      <c r="A513" t="s">
        <v>673</v>
      </c>
      <c r="B513" t="s">
        <v>139</v>
      </c>
      <c r="C513" s="2">
        <f>HYPERLINK("https://szao.dolgi.msk.ru/account/3470142197/", 3470142197)</f>
        <v>3470142197</v>
      </c>
      <c r="D513" t="s">
        <v>29</v>
      </c>
      <c r="E513">
        <v>12147.63</v>
      </c>
      <c r="AX513">
        <v>2.89</v>
      </c>
      <c r="AY513">
        <v>2.92</v>
      </c>
      <c r="AZ513" t="s">
        <v>40</v>
      </c>
      <c r="BA513" t="s">
        <v>31</v>
      </c>
      <c r="BB513">
        <v>12147.63</v>
      </c>
      <c r="BC513">
        <v>12147.63</v>
      </c>
      <c r="BD513">
        <v>12147.63</v>
      </c>
      <c r="BE513">
        <v>12147.63</v>
      </c>
      <c r="BF513">
        <v>7993.72</v>
      </c>
      <c r="BG513">
        <v>2804.57</v>
      </c>
      <c r="BH513">
        <v>837.2</v>
      </c>
      <c r="BI513">
        <v>1911.06</v>
      </c>
      <c r="BJ513">
        <v>538.20000000000005</v>
      </c>
      <c r="BK513">
        <v>1055.93</v>
      </c>
      <c r="BL513">
        <v>4283.25</v>
      </c>
      <c r="BM513">
        <v>717.42</v>
      </c>
      <c r="BP513" s="3">
        <v>45643</v>
      </c>
      <c r="BQ513">
        <v>3891.15</v>
      </c>
    </row>
    <row r="514" spans="1:71" x14ac:dyDescent="0.25">
      <c r="A514" t="s">
        <v>673</v>
      </c>
      <c r="B514" t="s">
        <v>279</v>
      </c>
      <c r="C514" s="2">
        <f>HYPERLINK("https://szao.dolgi.msk.ru/account/3470299477/", 3470299477)</f>
        <v>3470299477</v>
      </c>
      <c r="D514" t="s">
        <v>29</v>
      </c>
      <c r="E514">
        <v>127168.62</v>
      </c>
      <c r="AX514">
        <v>33.99</v>
      </c>
      <c r="AY514">
        <v>31.18</v>
      </c>
      <c r="AZ514" t="s">
        <v>56</v>
      </c>
      <c r="BA514" t="s">
        <v>36</v>
      </c>
      <c r="BB514">
        <v>127168.62</v>
      </c>
      <c r="BC514">
        <v>127168.62</v>
      </c>
      <c r="BD514">
        <v>127168.62</v>
      </c>
      <c r="BE514">
        <v>127168.62</v>
      </c>
      <c r="BF514">
        <v>123090.46</v>
      </c>
      <c r="BG514">
        <v>14177.3</v>
      </c>
      <c r="BH514">
        <v>13740.39</v>
      </c>
      <c r="BI514">
        <v>26793.1</v>
      </c>
      <c r="BJ514">
        <v>10711.86</v>
      </c>
      <c r="BK514">
        <v>13228.19</v>
      </c>
      <c r="BL514">
        <v>41836.480000000003</v>
      </c>
      <c r="BM514">
        <v>6681.3</v>
      </c>
      <c r="BP514" s="3">
        <v>45304</v>
      </c>
      <c r="BQ514">
        <v>4109.8900000000003</v>
      </c>
      <c r="BR514" s="3">
        <v>45699</v>
      </c>
      <c r="BS514" t="s">
        <v>674</v>
      </c>
    </row>
    <row r="515" spans="1:71" x14ac:dyDescent="0.25">
      <c r="A515" t="s">
        <v>675</v>
      </c>
      <c r="B515" t="s">
        <v>165</v>
      </c>
      <c r="C515" s="2">
        <f>HYPERLINK("https://szao.dolgi.msk.ru/account/3470299522/", 3470299522)</f>
        <v>3470299522</v>
      </c>
      <c r="D515" t="s">
        <v>29</v>
      </c>
      <c r="E515">
        <v>5447.77</v>
      </c>
      <c r="AX515">
        <v>2.79</v>
      </c>
      <c r="AY515">
        <v>2.78</v>
      </c>
      <c r="AZ515" t="s">
        <v>69</v>
      </c>
      <c r="BA515" t="s">
        <v>31</v>
      </c>
      <c r="BB515">
        <v>5447.77</v>
      </c>
      <c r="BC515">
        <v>5447.77</v>
      </c>
      <c r="BD515">
        <v>5485.88</v>
      </c>
      <c r="BE515">
        <v>5485.88</v>
      </c>
      <c r="BF515">
        <v>3491.39</v>
      </c>
      <c r="BG515">
        <v>2045.42</v>
      </c>
      <c r="BH515">
        <v>0</v>
      </c>
      <c r="BI515">
        <v>-30.32</v>
      </c>
      <c r="BJ515">
        <v>-7.79</v>
      </c>
      <c r="BK515">
        <v>0</v>
      </c>
      <c r="BL515">
        <v>2917.23</v>
      </c>
      <c r="BM515">
        <v>523.23</v>
      </c>
      <c r="BP515" s="3">
        <v>45602</v>
      </c>
      <c r="BQ515">
        <v>1764.75</v>
      </c>
      <c r="BR515" s="3">
        <v>44942</v>
      </c>
      <c r="BS515" t="s">
        <v>676</v>
      </c>
    </row>
    <row r="516" spans="1:71" x14ac:dyDescent="0.25">
      <c r="A516" t="s">
        <v>675</v>
      </c>
      <c r="B516" t="s">
        <v>227</v>
      </c>
      <c r="C516" s="2">
        <f>HYPERLINK("https://szao.dolgi.msk.ru/account/3470142701/", 3470142701)</f>
        <v>3470142701</v>
      </c>
      <c r="D516" t="s">
        <v>29</v>
      </c>
      <c r="E516">
        <v>113319.92</v>
      </c>
      <c r="AX516">
        <v>11.92</v>
      </c>
      <c r="AY516">
        <v>15.83</v>
      </c>
      <c r="AZ516" t="s">
        <v>40</v>
      </c>
      <c r="BA516" t="s">
        <v>63</v>
      </c>
      <c r="BB516">
        <v>113319.92</v>
      </c>
      <c r="BC516">
        <v>113319.92</v>
      </c>
      <c r="BD516">
        <v>113319.92</v>
      </c>
      <c r="BE516">
        <v>113319.92</v>
      </c>
      <c r="BF516">
        <v>106213.63</v>
      </c>
      <c r="BG516">
        <v>16555.71</v>
      </c>
      <c r="BH516">
        <v>12715.2</v>
      </c>
      <c r="BI516">
        <v>32836.769999999997</v>
      </c>
      <c r="BJ516">
        <v>8699.85</v>
      </c>
      <c r="BK516">
        <v>16806.599999999999</v>
      </c>
      <c r="BL516">
        <v>20669.84</v>
      </c>
      <c r="BM516">
        <v>5035.95</v>
      </c>
      <c r="BO516">
        <v>7156.99</v>
      </c>
      <c r="BP516" s="3">
        <v>45672</v>
      </c>
      <c r="BQ516">
        <v>7156.99</v>
      </c>
      <c r="BR516" s="3">
        <v>45686</v>
      </c>
      <c r="BS516" t="s">
        <v>677</v>
      </c>
    </row>
    <row r="517" spans="1:71" x14ac:dyDescent="0.25">
      <c r="A517" t="s">
        <v>675</v>
      </c>
      <c r="B517" t="s">
        <v>344</v>
      </c>
      <c r="C517" s="2">
        <f>HYPERLINK("https://szao.dolgi.msk.ru/account/3470299725/", 3470299725)</f>
        <v>3470299725</v>
      </c>
      <c r="D517" t="s">
        <v>29</v>
      </c>
      <c r="E517">
        <v>496506.18</v>
      </c>
      <c r="AX517">
        <v>23.72</v>
      </c>
      <c r="AY517">
        <v>22.5</v>
      </c>
      <c r="AZ517" t="s">
        <v>56</v>
      </c>
      <c r="BA517" t="s">
        <v>36</v>
      </c>
      <c r="BB517">
        <v>496506.18</v>
      </c>
      <c r="BC517">
        <v>496506.18</v>
      </c>
      <c r="BD517">
        <v>496506.18</v>
      </c>
      <c r="BE517">
        <v>496506.18</v>
      </c>
      <c r="BF517">
        <v>474438.27</v>
      </c>
      <c r="BG517">
        <v>9456.7000000000007</v>
      </c>
      <c r="BH517">
        <v>71232.740000000005</v>
      </c>
      <c r="BI517">
        <v>205523.25</v>
      </c>
      <c r="BJ517">
        <v>75635.740000000005</v>
      </c>
      <c r="BK517">
        <v>105335.63</v>
      </c>
      <c r="BL517">
        <v>23128.79</v>
      </c>
      <c r="BM517">
        <v>6193.33</v>
      </c>
      <c r="BP517" s="3">
        <v>45650</v>
      </c>
      <c r="BQ517">
        <v>0</v>
      </c>
      <c r="BR517" s="3">
        <v>45666</v>
      </c>
      <c r="BS517" t="s">
        <v>678</v>
      </c>
    </row>
    <row r="518" spans="1:71" x14ac:dyDescent="0.25">
      <c r="A518" t="s">
        <v>675</v>
      </c>
      <c r="B518" t="s">
        <v>344</v>
      </c>
      <c r="C518" s="2">
        <f>HYPERLINK("https://szao.dolgi.msk.ru/account/3470299733/", 3470299733)</f>
        <v>3470299733</v>
      </c>
      <c r="D518" t="s">
        <v>29</v>
      </c>
      <c r="E518">
        <v>1822.39</v>
      </c>
      <c r="AX518">
        <v>4.1100000000000003</v>
      </c>
      <c r="AY518">
        <v>0.2</v>
      </c>
      <c r="AZ518" t="s">
        <v>35</v>
      </c>
      <c r="BA518" t="s">
        <v>49</v>
      </c>
      <c r="BB518">
        <v>1822.39</v>
      </c>
      <c r="BC518">
        <v>1822.39</v>
      </c>
      <c r="BD518">
        <v>1822.39</v>
      </c>
      <c r="BE518">
        <v>1822.39</v>
      </c>
      <c r="BF518">
        <v>1585.21</v>
      </c>
      <c r="BG518">
        <v>812.67</v>
      </c>
      <c r="BH518">
        <v>483.8</v>
      </c>
      <c r="BI518">
        <v>0</v>
      </c>
      <c r="BJ518">
        <v>150.81</v>
      </c>
      <c r="BK518">
        <v>359.39</v>
      </c>
      <c r="BL518">
        <v>0</v>
      </c>
      <c r="BM518">
        <v>15.72</v>
      </c>
      <c r="BN518">
        <v>8911.01</v>
      </c>
      <c r="BO518">
        <v>9148.19</v>
      </c>
      <c r="BP518" s="3">
        <v>45691</v>
      </c>
      <c r="BQ518">
        <v>8911.01</v>
      </c>
      <c r="BR518" s="3">
        <v>45383</v>
      </c>
      <c r="BS518" t="s">
        <v>679</v>
      </c>
    </row>
    <row r="519" spans="1:71" x14ac:dyDescent="0.25">
      <c r="A519" t="s">
        <v>675</v>
      </c>
      <c r="B519" t="s">
        <v>410</v>
      </c>
      <c r="C519" s="2">
        <f>HYPERLINK("https://szao.dolgi.msk.ru/account/3470143026/", 3470143026)</f>
        <v>3470143026</v>
      </c>
      <c r="D519" t="s">
        <v>29</v>
      </c>
      <c r="E519">
        <v>21871.64</v>
      </c>
      <c r="AX519">
        <v>3.78</v>
      </c>
      <c r="AY519">
        <v>3.8</v>
      </c>
      <c r="AZ519" t="s">
        <v>40</v>
      </c>
      <c r="BA519" t="s">
        <v>49</v>
      </c>
      <c r="BB519">
        <v>21871.64</v>
      </c>
      <c r="BC519">
        <v>21871.64</v>
      </c>
      <c r="BD519">
        <v>21871.64</v>
      </c>
      <c r="BE519">
        <v>21871.64</v>
      </c>
      <c r="BF519">
        <v>21280.73</v>
      </c>
      <c r="BG519">
        <v>6441.17</v>
      </c>
      <c r="BH519">
        <v>1626.56</v>
      </c>
      <c r="BI519">
        <v>2859.52</v>
      </c>
      <c r="BJ519">
        <v>805.3</v>
      </c>
      <c r="BK519">
        <v>1867.01</v>
      </c>
      <c r="BL519">
        <v>6584.88</v>
      </c>
      <c r="BM519">
        <v>1687.2</v>
      </c>
      <c r="BN519">
        <v>5171.45</v>
      </c>
      <c r="BP519" s="3">
        <v>45698</v>
      </c>
      <c r="BQ519">
        <v>5171.45</v>
      </c>
    </row>
    <row r="520" spans="1:71" x14ac:dyDescent="0.25">
      <c r="A520" t="s">
        <v>680</v>
      </c>
      <c r="B520" t="s">
        <v>309</v>
      </c>
      <c r="C520" s="2">
        <f>HYPERLINK("https://szao.dolgi.msk.ru/account/3470143202/", 3470143202)</f>
        <v>3470143202</v>
      </c>
      <c r="D520" t="s">
        <v>29</v>
      </c>
      <c r="E520">
        <v>20078.79</v>
      </c>
      <c r="AX520">
        <v>2.89</v>
      </c>
      <c r="AY520">
        <v>2.91</v>
      </c>
      <c r="AZ520" t="s">
        <v>40</v>
      </c>
      <c r="BA520" t="s">
        <v>31</v>
      </c>
      <c r="BB520">
        <v>20078.79</v>
      </c>
      <c r="BC520">
        <v>20078.79</v>
      </c>
      <c r="BD520">
        <v>20078.79</v>
      </c>
      <c r="BE520">
        <v>20078.79</v>
      </c>
      <c r="BF520">
        <v>13187.04</v>
      </c>
      <c r="BG520">
        <v>3184.32</v>
      </c>
      <c r="BH520">
        <v>3732.42</v>
      </c>
      <c r="BI520">
        <v>3022.65</v>
      </c>
      <c r="BJ520">
        <v>851.25</v>
      </c>
      <c r="BK520">
        <v>3519</v>
      </c>
      <c r="BL520">
        <v>5049.51</v>
      </c>
      <c r="BM520">
        <v>719.64</v>
      </c>
      <c r="BP520" s="3">
        <v>45667</v>
      </c>
      <c r="BQ520">
        <v>6593.52</v>
      </c>
    </row>
    <row r="521" spans="1:71" x14ac:dyDescent="0.25">
      <c r="A521" t="s">
        <v>681</v>
      </c>
      <c r="B521" t="s">
        <v>85</v>
      </c>
      <c r="C521" s="2">
        <f>HYPERLINK("https://szao.dolgi.msk.ru/account/3470137486/", 3470137486)</f>
        <v>3470137486</v>
      </c>
      <c r="D521" t="s">
        <v>29</v>
      </c>
      <c r="E521">
        <v>10363.16</v>
      </c>
      <c r="AX521">
        <v>2.72</v>
      </c>
      <c r="AY521">
        <v>2.02</v>
      </c>
      <c r="AZ521" t="s">
        <v>30</v>
      </c>
      <c r="BA521" t="s">
        <v>31</v>
      </c>
      <c r="BB521">
        <v>10363.16</v>
      </c>
      <c r="BC521">
        <v>10363.16</v>
      </c>
      <c r="BD521">
        <v>10363.16</v>
      </c>
      <c r="BE521">
        <v>10363.16</v>
      </c>
      <c r="BF521">
        <v>5232.96</v>
      </c>
      <c r="BG521">
        <v>2949.47</v>
      </c>
      <c r="BH521">
        <v>478.37</v>
      </c>
      <c r="BI521">
        <v>1096.29</v>
      </c>
      <c r="BJ521">
        <v>308.74</v>
      </c>
      <c r="BK521">
        <v>604.29</v>
      </c>
      <c r="BL521">
        <v>4289.26</v>
      </c>
      <c r="BM521">
        <v>636.74</v>
      </c>
      <c r="BP521" s="3">
        <v>45630</v>
      </c>
      <c r="BQ521">
        <v>7965.01</v>
      </c>
      <c r="BR521" s="3">
        <v>45488</v>
      </c>
      <c r="BS521" t="s">
        <v>682</v>
      </c>
    </row>
    <row r="522" spans="1:71" x14ac:dyDescent="0.25">
      <c r="A522" t="s">
        <v>683</v>
      </c>
      <c r="B522" t="s">
        <v>28</v>
      </c>
      <c r="C522" s="2">
        <f>HYPERLINK("https://szao.dolgi.msk.ru/account/3470300087/", 3470300087)</f>
        <v>3470300087</v>
      </c>
      <c r="D522" t="s">
        <v>29</v>
      </c>
      <c r="E522">
        <v>76574.149999999994</v>
      </c>
      <c r="AX522">
        <v>20.83</v>
      </c>
      <c r="AY522">
        <v>17.59</v>
      </c>
      <c r="AZ522" t="s">
        <v>69</v>
      </c>
      <c r="BA522" t="s">
        <v>36</v>
      </c>
      <c r="BB522">
        <v>76574.149999999994</v>
      </c>
      <c r="BC522">
        <v>76574.149999999994</v>
      </c>
      <c r="BD522">
        <v>76574.149999999994</v>
      </c>
      <c r="BE522">
        <v>76574.149999999994</v>
      </c>
      <c r="BF522">
        <v>72221.38</v>
      </c>
      <c r="BG522">
        <v>5961.31</v>
      </c>
      <c r="BH522">
        <v>5528.18</v>
      </c>
      <c r="BI522">
        <v>17499.150000000001</v>
      </c>
      <c r="BJ522">
        <v>3773.14</v>
      </c>
      <c r="BK522">
        <v>7419.19</v>
      </c>
      <c r="BL522">
        <v>32534.04</v>
      </c>
      <c r="BM522">
        <v>3859.14</v>
      </c>
      <c r="BP522" s="3">
        <v>45626</v>
      </c>
      <c r="BQ522">
        <v>0</v>
      </c>
      <c r="BR522" s="3">
        <v>45666</v>
      </c>
      <c r="BS522" t="s">
        <v>684</v>
      </c>
    </row>
    <row r="523" spans="1:71" x14ac:dyDescent="0.25">
      <c r="A523" t="s">
        <v>683</v>
      </c>
      <c r="B523" t="s">
        <v>28</v>
      </c>
      <c r="C523" s="2">
        <f>HYPERLINK("https://szao.dolgi.msk.ru/account/3470300095/", 3470300095)</f>
        <v>3470300095</v>
      </c>
      <c r="D523" t="s">
        <v>29</v>
      </c>
      <c r="E523">
        <v>279040.26</v>
      </c>
      <c r="AX523">
        <v>27.2</v>
      </c>
      <c r="AY523">
        <v>24.47</v>
      </c>
      <c r="AZ523" t="s">
        <v>69</v>
      </c>
      <c r="BA523" t="s">
        <v>36</v>
      </c>
      <c r="BB523">
        <v>279040.26</v>
      </c>
      <c r="BC523">
        <v>279040.26</v>
      </c>
      <c r="BD523">
        <v>279040.26</v>
      </c>
      <c r="BE523">
        <v>279040.26</v>
      </c>
      <c r="BF523">
        <v>267638.28999999998</v>
      </c>
      <c r="BG523">
        <v>49107.839999999997</v>
      </c>
      <c r="BH523">
        <v>28467.85</v>
      </c>
      <c r="BI523">
        <v>59359.47</v>
      </c>
      <c r="BJ523">
        <v>16622.25</v>
      </c>
      <c r="BK523">
        <v>34716.720000000001</v>
      </c>
      <c r="BL523">
        <v>77047.44</v>
      </c>
      <c r="BM523">
        <v>13718.69</v>
      </c>
      <c r="BP523" s="3">
        <v>45588</v>
      </c>
      <c r="BQ523">
        <v>10951.06</v>
      </c>
      <c r="BR523" s="3">
        <v>45631</v>
      </c>
      <c r="BS523" t="s">
        <v>685</v>
      </c>
    </row>
    <row r="524" spans="1:71" x14ac:dyDescent="0.25">
      <c r="A524" t="s">
        <v>683</v>
      </c>
      <c r="B524" t="s">
        <v>34</v>
      </c>
      <c r="C524" s="2">
        <f>HYPERLINK("https://szao.dolgi.msk.ru/account/3470137961/", 3470137961)</f>
        <v>3470137961</v>
      </c>
      <c r="D524" t="s">
        <v>29</v>
      </c>
      <c r="E524">
        <v>85279.4</v>
      </c>
      <c r="AX524">
        <v>13.02</v>
      </c>
      <c r="AY524">
        <v>8.0299999999999994</v>
      </c>
      <c r="AZ524" t="s">
        <v>45</v>
      </c>
      <c r="BA524" t="s">
        <v>36</v>
      </c>
      <c r="BB524">
        <v>85279.4</v>
      </c>
      <c r="BC524">
        <v>85279.4</v>
      </c>
      <c r="BD524">
        <v>140795.44</v>
      </c>
      <c r="BE524">
        <v>140795.44</v>
      </c>
      <c r="BF524">
        <v>74658.37</v>
      </c>
      <c r="BG524">
        <v>27625.33</v>
      </c>
      <c r="BH524">
        <v>16643.07</v>
      </c>
      <c r="BI524">
        <v>-55516.04</v>
      </c>
      <c r="BJ524">
        <v>12486.43</v>
      </c>
      <c r="BK524">
        <v>7334.56</v>
      </c>
      <c r="BL524">
        <v>64125.59</v>
      </c>
      <c r="BM524">
        <v>12580.46</v>
      </c>
      <c r="BP524" s="3">
        <v>45656</v>
      </c>
      <c r="BQ524">
        <v>6527.62</v>
      </c>
      <c r="BR524" s="3">
        <v>45637</v>
      </c>
      <c r="BS524" t="s">
        <v>686</v>
      </c>
    </row>
    <row r="525" spans="1:71" x14ac:dyDescent="0.25">
      <c r="A525" t="s">
        <v>683</v>
      </c>
      <c r="B525" t="s">
        <v>147</v>
      </c>
      <c r="C525" s="2">
        <f>HYPERLINK("https://szao.dolgi.msk.ru/account/3470299987/", 3470299987)</f>
        <v>3470299987</v>
      </c>
      <c r="D525" t="s">
        <v>29</v>
      </c>
      <c r="E525">
        <v>284098.51</v>
      </c>
      <c r="AX525">
        <v>21.13</v>
      </c>
      <c r="AY525">
        <v>18.260000000000002</v>
      </c>
      <c r="AZ525" t="s">
        <v>56</v>
      </c>
      <c r="BA525" t="s">
        <v>36</v>
      </c>
      <c r="BB525">
        <v>284098.51</v>
      </c>
      <c r="BC525">
        <v>284098.51</v>
      </c>
      <c r="BD525">
        <v>284098.51</v>
      </c>
      <c r="BE525">
        <v>284098.51</v>
      </c>
      <c r="BF525">
        <v>268536.06</v>
      </c>
      <c r="BG525">
        <v>26117.15</v>
      </c>
      <c r="BH525">
        <v>44742.96</v>
      </c>
      <c r="BI525">
        <v>93649.32</v>
      </c>
      <c r="BJ525">
        <v>24973.13</v>
      </c>
      <c r="BK525">
        <v>42911.14</v>
      </c>
      <c r="BL525">
        <v>44891.76</v>
      </c>
      <c r="BM525">
        <v>6813.05</v>
      </c>
      <c r="BP525" s="3">
        <v>45590</v>
      </c>
      <c r="BQ525">
        <v>0</v>
      </c>
      <c r="BR525" s="3">
        <v>45666</v>
      </c>
      <c r="BS525" t="s">
        <v>687</v>
      </c>
    </row>
    <row r="526" spans="1:71" x14ac:dyDescent="0.25">
      <c r="A526" t="s">
        <v>683</v>
      </c>
      <c r="B526" t="s">
        <v>147</v>
      </c>
      <c r="C526" s="2">
        <f>HYPERLINK("https://szao.dolgi.msk.ru/account/3470300108/", 3470300108)</f>
        <v>3470300108</v>
      </c>
      <c r="D526" t="s">
        <v>29</v>
      </c>
      <c r="E526">
        <v>241.3</v>
      </c>
      <c r="AX526">
        <v>18.78</v>
      </c>
      <c r="AY526">
        <v>0.09</v>
      </c>
      <c r="AZ526" t="s">
        <v>40</v>
      </c>
      <c r="BA526" t="s">
        <v>36</v>
      </c>
      <c r="BB526">
        <v>241.3</v>
      </c>
      <c r="BC526">
        <v>241.3</v>
      </c>
      <c r="BD526">
        <v>10014.19</v>
      </c>
      <c r="BE526">
        <v>10014.19</v>
      </c>
      <c r="BF526">
        <v>-2579.79</v>
      </c>
      <c r="BG526">
        <v>2026.81</v>
      </c>
      <c r="BH526">
        <v>2233</v>
      </c>
      <c r="BI526">
        <v>883.28</v>
      </c>
      <c r="BJ526">
        <v>1527.82</v>
      </c>
      <c r="BK526">
        <v>-9772.89</v>
      </c>
      <c r="BL526">
        <v>2848</v>
      </c>
      <c r="BM526">
        <v>495.28</v>
      </c>
      <c r="BP526" s="3">
        <v>45653</v>
      </c>
      <c r="BQ526">
        <v>2549</v>
      </c>
      <c r="BR526" s="3">
        <v>45408</v>
      </c>
      <c r="BS526" t="s">
        <v>688</v>
      </c>
    </row>
    <row r="527" spans="1:71" x14ac:dyDescent="0.25">
      <c r="A527" t="s">
        <v>683</v>
      </c>
      <c r="B527" t="s">
        <v>552</v>
      </c>
      <c r="C527" s="2">
        <f>HYPERLINK("https://szao.dolgi.msk.ru/account/3470138278/", 3470138278)</f>
        <v>3470138278</v>
      </c>
      <c r="D527" t="s">
        <v>29</v>
      </c>
      <c r="E527">
        <v>20251.62</v>
      </c>
      <c r="AX527">
        <v>3.65</v>
      </c>
      <c r="AY527">
        <v>2.95</v>
      </c>
      <c r="AZ527" t="s">
        <v>40</v>
      </c>
      <c r="BA527" t="s">
        <v>49</v>
      </c>
      <c r="BB527">
        <v>20251.62</v>
      </c>
      <c r="BC527">
        <v>20251.62</v>
      </c>
      <c r="BD527">
        <v>20251.62</v>
      </c>
      <c r="BE527">
        <v>20251.62</v>
      </c>
      <c r="BF527">
        <v>13377.29</v>
      </c>
      <c r="BG527">
        <v>8385.2900000000009</v>
      </c>
      <c r="BH527">
        <v>1740.78</v>
      </c>
      <c r="BI527">
        <v>0</v>
      </c>
      <c r="BJ527">
        <v>0</v>
      </c>
      <c r="BK527">
        <v>1224.47</v>
      </c>
      <c r="BL527">
        <v>6852.55</v>
      </c>
      <c r="BM527">
        <v>2048.5300000000002</v>
      </c>
      <c r="BN527">
        <v>14852.61</v>
      </c>
      <c r="BP527" s="3">
        <v>45684</v>
      </c>
      <c r="BQ527">
        <v>5346.27</v>
      </c>
      <c r="BR527" s="3">
        <v>45567</v>
      </c>
      <c r="BS527" t="s">
        <v>689</v>
      </c>
    </row>
    <row r="528" spans="1:71" x14ac:dyDescent="0.25">
      <c r="A528" t="s">
        <v>690</v>
      </c>
      <c r="B528" t="s">
        <v>385</v>
      </c>
      <c r="C528" s="2">
        <f>HYPERLINK("https://szao.dolgi.msk.ru/account/3470138761/", 3470138761)</f>
        <v>3470138761</v>
      </c>
      <c r="D528" t="s">
        <v>29</v>
      </c>
      <c r="E528">
        <v>58915.07</v>
      </c>
      <c r="AX528">
        <v>6.81</v>
      </c>
      <c r="AY528">
        <v>6.24</v>
      </c>
      <c r="AZ528" t="s">
        <v>40</v>
      </c>
      <c r="BA528" t="s">
        <v>66</v>
      </c>
      <c r="BB528">
        <v>58915.07</v>
      </c>
      <c r="BC528">
        <v>58915.07</v>
      </c>
      <c r="BD528">
        <v>58915.07</v>
      </c>
      <c r="BE528">
        <v>58915.07</v>
      </c>
      <c r="BF528">
        <v>75657.919999999998</v>
      </c>
      <c r="BG528">
        <v>7249.79</v>
      </c>
      <c r="BH528">
        <v>4434.26</v>
      </c>
      <c r="BI528">
        <v>20352.88</v>
      </c>
      <c r="BJ528">
        <v>4454.97</v>
      </c>
      <c r="BK528">
        <v>7279.88</v>
      </c>
      <c r="BL528">
        <v>13327.44</v>
      </c>
      <c r="BM528">
        <v>1815.85</v>
      </c>
      <c r="BN528">
        <v>26184.98</v>
      </c>
      <c r="BP528" s="3">
        <v>45696</v>
      </c>
      <c r="BQ528">
        <v>26184.98</v>
      </c>
      <c r="BR528" s="3">
        <v>45635</v>
      </c>
      <c r="BS528" t="s">
        <v>691</v>
      </c>
    </row>
    <row r="529" spans="1:71" x14ac:dyDescent="0.25">
      <c r="A529" t="s">
        <v>690</v>
      </c>
      <c r="B529" t="s">
        <v>481</v>
      </c>
      <c r="C529" s="2">
        <f>HYPERLINK("https://szao.dolgi.msk.ru/account/3470138833/", 3470138833)</f>
        <v>3470138833</v>
      </c>
      <c r="D529" t="s">
        <v>29</v>
      </c>
      <c r="E529">
        <v>18387.43</v>
      </c>
      <c r="AX529">
        <v>3.19</v>
      </c>
      <c r="AY529">
        <v>3.26</v>
      </c>
      <c r="AZ529" t="s">
        <v>40</v>
      </c>
      <c r="BA529" t="s">
        <v>49</v>
      </c>
      <c r="BB529">
        <v>18387.43</v>
      </c>
      <c r="BC529">
        <v>18387.43</v>
      </c>
      <c r="BD529">
        <v>18387.43</v>
      </c>
      <c r="BE529">
        <v>18387.43</v>
      </c>
      <c r="BF529">
        <v>12743.84</v>
      </c>
      <c r="BG529">
        <v>3086.94</v>
      </c>
      <c r="BH529">
        <v>1713.27</v>
      </c>
      <c r="BI529">
        <v>4268.03</v>
      </c>
      <c r="BJ529">
        <v>1201.98</v>
      </c>
      <c r="BK529">
        <v>2238.11</v>
      </c>
      <c r="BL529">
        <v>5082.45</v>
      </c>
      <c r="BM529">
        <v>796.65</v>
      </c>
      <c r="BP529" s="3">
        <v>45625</v>
      </c>
      <c r="BQ529">
        <v>6545.62</v>
      </c>
    </row>
    <row r="530" spans="1:71" x14ac:dyDescent="0.25">
      <c r="A530" t="s">
        <v>690</v>
      </c>
      <c r="B530" t="s">
        <v>502</v>
      </c>
      <c r="C530" s="2">
        <f>HYPERLINK("https://szao.dolgi.msk.ru/account/3470138841/", 3470138841)</f>
        <v>3470138841</v>
      </c>
      <c r="D530" t="s">
        <v>29</v>
      </c>
      <c r="E530">
        <v>16258.86</v>
      </c>
      <c r="AX530">
        <v>3.91</v>
      </c>
      <c r="AY530">
        <v>2.61</v>
      </c>
      <c r="AZ530" t="s">
        <v>35</v>
      </c>
      <c r="BA530" t="s">
        <v>49</v>
      </c>
      <c r="BB530">
        <v>16258.86</v>
      </c>
      <c r="BC530">
        <v>16258.86</v>
      </c>
      <c r="BD530">
        <v>32564.11</v>
      </c>
      <c r="BE530">
        <v>32564.11</v>
      </c>
      <c r="BF530">
        <v>18589.11</v>
      </c>
      <c r="BG530">
        <v>-16305.25</v>
      </c>
      <c r="BH530">
        <v>0</v>
      </c>
      <c r="BI530">
        <v>21531.62</v>
      </c>
      <c r="BJ530">
        <v>6038.97</v>
      </c>
      <c r="BK530">
        <v>3993.44</v>
      </c>
      <c r="BL530">
        <v>0</v>
      </c>
      <c r="BM530">
        <v>1000.08</v>
      </c>
      <c r="BN530">
        <v>6218.12</v>
      </c>
      <c r="BO530">
        <v>5494.85</v>
      </c>
      <c r="BP530" s="3">
        <v>45693</v>
      </c>
      <c r="BQ530">
        <v>8559.35</v>
      </c>
      <c r="BR530" s="3">
        <v>45215</v>
      </c>
      <c r="BS530" t="s">
        <v>692</v>
      </c>
    </row>
    <row r="531" spans="1:71" x14ac:dyDescent="0.25">
      <c r="A531" t="s">
        <v>690</v>
      </c>
      <c r="B531" t="s">
        <v>279</v>
      </c>
      <c r="C531" s="2">
        <f>HYPERLINK("https://szao.dolgi.msk.ru/account/3470444347/", 3470444347)</f>
        <v>3470444347</v>
      </c>
      <c r="D531" t="s">
        <v>29</v>
      </c>
      <c r="E531">
        <v>18223.8</v>
      </c>
      <c r="AX531">
        <v>38.67</v>
      </c>
      <c r="AY531">
        <v>22.27</v>
      </c>
      <c r="AZ531" t="s">
        <v>56</v>
      </c>
      <c r="BA531" t="s">
        <v>36</v>
      </c>
      <c r="BB531">
        <v>18223.8</v>
      </c>
      <c r="BC531">
        <v>18223.8</v>
      </c>
      <c r="BD531">
        <v>18223.8</v>
      </c>
      <c r="BE531">
        <v>18223.8</v>
      </c>
      <c r="BF531">
        <v>17405.37</v>
      </c>
      <c r="BG531">
        <v>5377.53</v>
      </c>
      <c r="BH531">
        <v>0</v>
      </c>
      <c r="BI531">
        <v>0</v>
      </c>
      <c r="BJ531">
        <v>0</v>
      </c>
      <c r="BK531">
        <v>0</v>
      </c>
      <c r="BL531">
        <v>10462.11</v>
      </c>
      <c r="BM531">
        <v>2384.16</v>
      </c>
      <c r="BP531" s="3">
        <v>45212</v>
      </c>
      <c r="BQ531">
        <v>9634.5</v>
      </c>
      <c r="BR531" s="3">
        <v>45475</v>
      </c>
      <c r="BS531" t="s">
        <v>693</v>
      </c>
    </row>
    <row r="532" spans="1:71" x14ac:dyDescent="0.25">
      <c r="A532" t="s">
        <v>690</v>
      </c>
      <c r="B532" t="s">
        <v>473</v>
      </c>
      <c r="C532" s="2">
        <f>HYPERLINK("https://szao.dolgi.msk.ru/account/3470139115/", 3470139115)</f>
        <v>3470139115</v>
      </c>
      <c r="D532" t="s">
        <v>29</v>
      </c>
      <c r="E532">
        <v>19242.28</v>
      </c>
      <c r="AX532">
        <v>2.8</v>
      </c>
      <c r="AY532">
        <v>2.81</v>
      </c>
      <c r="AZ532" t="s">
        <v>40</v>
      </c>
      <c r="BA532" t="s">
        <v>31</v>
      </c>
      <c r="BB532">
        <v>19242.28</v>
      </c>
      <c r="BC532">
        <v>19242.28</v>
      </c>
      <c r="BD532">
        <v>19242.28</v>
      </c>
      <c r="BE532">
        <v>19242.28</v>
      </c>
      <c r="BF532">
        <v>12385.18</v>
      </c>
      <c r="BG532">
        <v>3223.27</v>
      </c>
      <c r="BH532">
        <v>3732.42</v>
      </c>
      <c r="BI532">
        <v>2694.47</v>
      </c>
      <c r="BJ532">
        <v>765.24</v>
      </c>
      <c r="BK532">
        <v>3451.24</v>
      </c>
      <c r="BL532">
        <v>4647.21</v>
      </c>
      <c r="BM532">
        <v>728.43</v>
      </c>
      <c r="BP532" s="3">
        <v>45609</v>
      </c>
      <c r="BQ532">
        <v>6237.18</v>
      </c>
    </row>
    <row r="533" spans="1:71" x14ac:dyDescent="0.25">
      <c r="A533" t="s">
        <v>690</v>
      </c>
      <c r="B533" t="s">
        <v>627</v>
      </c>
      <c r="C533" s="2">
        <f>HYPERLINK("https://szao.dolgi.msk.ru/account/3470139246/", 3470139246)</f>
        <v>3470139246</v>
      </c>
      <c r="D533" t="s">
        <v>29</v>
      </c>
      <c r="E533">
        <v>212290.33</v>
      </c>
      <c r="AX533">
        <v>26.9</v>
      </c>
      <c r="AY533">
        <v>22.48</v>
      </c>
      <c r="AZ533" t="s">
        <v>56</v>
      </c>
      <c r="BA533" t="s">
        <v>36</v>
      </c>
      <c r="BB533">
        <v>212290.33</v>
      </c>
      <c r="BC533">
        <v>212290.33</v>
      </c>
      <c r="BD533">
        <v>212290.33</v>
      </c>
      <c r="BE533">
        <v>212290.33</v>
      </c>
      <c r="BF533">
        <v>202848.2</v>
      </c>
      <c r="BG533">
        <v>38954.42</v>
      </c>
      <c r="BH533">
        <v>20321.66</v>
      </c>
      <c r="BI533">
        <v>48801.39</v>
      </c>
      <c r="BJ533">
        <v>13232.72</v>
      </c>
      <c r="BK533">
        <v>26475.040000000001</v>
      </c>
      <c r="BL533">
        <v>56595.06</v>
      </c>
      <c r="BM533">
        <v>7910.04</v>
      </c>
      <c r="BP533" s="3">
        <v>44389</v>
      </c>
      <c r="BQ533">
        <v>0</v>
      </c>
    </row>
    <row r="534" spans="1:71" x14ac:dyDescent="0.25">
      <c r="A534" t="s">
        <v>694</v>
      </c>
      <c r="B534" t="s">
        <v>127</v>
      </c>
      <c r="C534" s="2">
        <f>HYPERLINK("https://szao.dolgi.msk.ru/account/3470140386/", 3470140386)</f>
        <v>3470140386</v>
      </c>
      <c r="D534" t="s">
        <v>29</v>
      </c>
      <c r="E534">
        <v>17387.97</v>
      </c>
      <c r="AX534">
        <v>2.4300000000000002</v>
      </c>
      <c r="AY534">
        <v>2.2200000000000002</v>
      </c>
      <c r="AZ534" t="s">
        <v>40</v>
      </c>
      <c r="BA534" t="s">
        <v>31</v>
      </c>
      <c r="BB534">
        <v>17387.97</v>
      </c>
      <c r="BC534">
        <v>17387.97</v>
      </c>
      <c r="BD534">
        <v>17387.97</v>
      </c>
      <c r="BE534">
        <v>17387.97</v>
      </c>
      <c r="BF534">
        <v>9731.3700000000008</v>
      </c>
      <c r="BG534">
        <v>3842.06</v>
      </c>
      <c r="BH534">
        <v>804.67</v>
      </c>
      <c r="BI534">
        <v>1494.22</v>
      </c>
      <c r="BJ534">
        <v>422.35</v>
      </c>
      <c r="BK534">
        <v>850.2</v>
      </c>
      <c r="BL534">
        <v>7755.14</v>
      </c>
      <c r="BM534">
        <v>2219.33</v>
      </c>
      <c r="BN534">
        <v>7236.46</v>
      </c>
      <c r="BP534" s="3">
        <v>45685</v>
      </c>
      <c r="BQ534">
        <v>7236.46</v>
      </c>
      <c r="BR534" s="3">
        <v>45638</v>
      </c>
      <c r="BS534" t="s">
        <v>695</v>
      </c>
    </row>
    <row r="535" spans="1:71" x14ac:dyDescent="0.25">
      <c r="A535" t="s">
        <v>694</v>
      </c>
      <c r="B535" t="s">
        <v>152</v>
      </c>
      <c r="C535" s="2">
        <f>HYPERLINK("https://szao.dolgi.msk.ru/account/3470300431/", 3470300431)</f>
        <v>3470300431</v>
      </c>
      <c r="D535" t="s">
        <v>29</v>
      </c>
      <c r="E535">
        <v>16324.47</v>
      </c>
      <c r="AX535">
        <v>24.13</v>
      </c>
      <c r="AY535">
        <v>12.96</v>
      </c>
      <c r="AZ535" t="s">
        <v>56</v>
      </c>
      <c r="BA535" t="s">
        <v>36</v>
      </c>
      <c r="BB535">
        <v>16324.47</v>
      </c>
      <c r="BC535">
        <v>16324.47</v>
      </c>
      <c r="BD535">
        <v>45727.76</v>
      </c>
      <c r="BE535">
        <v>45727.76</v>
      </c>
      <c r="BF535">
        <v>15064.79</v>
      </c>
      <c r="BG535">
        <v>18253.36</v>
      </c>
      <c r="BH535">
        <v>-5166.12</v>
      </c>
      <c r="BI535">
        <v>-14214.72</v>
      </c>
      <c r="BJ535">
        <v>-3636.93</v>
      </c>
      <c r="BK535">
        <v>-6385.52</v>
      </c>
      <c r="BL535">
        <v>23143.03</v>
      </c>
      <c r="BM535">
        <v>4331.37</v>
      </c>
      <c r="BP535" s="3">
        <v>45260</v>
      </c>
      <c r="BQ535">
        <v>0</v>
      </c>
      <c r="BR535" s="3">
        <v>45666</v>
      </c>
      <c r="BS535" t="s">
        <v>696</v>
      </c>
    </row>
    <row r="536" spans="1:71" x14ac:dyDescent="0.25">
      <c r="A536" t="s">
        <v>694</v>
      </c>
      <c r="B536" t="s">
        <v>152</v>
      </c>
      <c r="C536" s="2">
        <f>HYPERLINK("https://szao.dolgi.msk.ru/account/3470553658/", 3470553658)</f>
        <v>3470553658</v>
      </c>
      <c r="D536" t="s">
        <v>29</v>
      </c>
      <c r="E536">
        <v>119016.84</v>
      </c>
      <c r="AX536">
        <v>49.11</v>
      </c>
      <c r="AY536">
        <v>53.61</v>
      </c>
      <c r="AZ536" t="s">
        <v>56</v>
      </c>
      <c r="BA536" t="s">
        <v>36</v>
      </c>
      <c r="BB536">
        <v>119016.84</v>
      </c>
      <c r="BC536">
        <v>119016.84</v>
      </c>
      <c r="BD536">
        <v>119016.84</v>
      </c>
      <c r="BE536">
        <v>119016.84</v>
      </c>
      <c r="BF536">
        <v>116796.81</v>
      </c>
      <c r="BG536">
        <v>33627.86</v>
      </c>
      <c r="BH536">
        <v>6416.29</v>
      </c>
      <c r="BI536">
        <v>16343.87</v>
      </c>
      <c r="BJ536">
        <v>4330.1899999999996</v>
      </c>
      <c r="BK536">
        <v>8433.8700000000008</v>
      </c>
      <c r="BL536">
        <v>42231.24</v>
      </c>
      <c r="BM536">
        <v>7633.52</v>
      </c>
    </row>
    <row r="537" spans="1:71" x14ac:dyDescent="0.25">
      <c r="A537" t="s">
        <v>694</v>
      </c>
      <c r="B537" t="s">
        <v>160</v>
      </c>
      <c r="C537" s="2">
        <f>HYPERLINK("https://szao.dolgi.msk.ru/account/3470300466/", 3470300466)</f>
        <v>3470300466</v>
      </c>
      <c r="D537" t="s">
        <v>29</v>
      </c>
      <c r="E537">
        <v>29159.03</v>
      </c>
      <c r="AX537">
        <v>7.63</v>
      </c>
      <c r="AY537">
        <v>7.78</v>
      </c>
      <c r="AZ537" t="s">
        <v>45</v>
      </c>
      <c r="BA537" t="s">
        <v>66</v>
      </c>
      <c r="BB537">
        <v>29159.03</v>
      </c>
      <c r="BC537">
        <v>29159.03</v>
      </c>
      <c r="BD537">
        <v>29159.03</v>
      </c>
      <c r="BE537">
        <v>29159.03</v>
      </c>
      <c r="BF537">
        <v>25409.37</v>
      </c>
      <c r="BG537">
        <v>7012.33</v>
      </c>
      <c r="BH537">
        <v>1643.3</v>
      </c>
      <c r="BI537">
        <v>5231.8100000000004</v>
      </c>
      <c r="BJ537">
        <v>1449.89</v>
      </c>
      <c r="BK537">
        <v>2388.0500000000002</v>
      </c>
      <c r="BL537">
        <v>9529.6</v>
      </c>
      <c r="BM537">
        <v>1904.05</v>
      </c>
      <c r="BP537" s="3">
        <v>45476</v>
      </c>
      <c r="BQ537">
        <v>3230.01</v>
      </c>
    </row>
    <row r="538" spans="1:71" x14ac:dyDescent="0.25">
      <c r="A538" t="s">
        <v>694</v>
      </c>
      <c r="B538" t="s">
        <v>550</v>
      </c>
      <c r="C538" s="2">
        <f>HYPERLINK("https://szao.dolgi.msk.ru/account/3470300503/", 3470300503)</f>
        <v>3470300503</v>
      </c>
      <c r="D538" t="s">
        <v>29</v>
      </c>
      <c r="E538">
        <v>5554.11</v>
      </c>
      <c r="AX538">
        <v>4.43</v>
      </c>
      <c r="AY538">
        <v>1.1000000000000001</v>
      </c>
      <c r="AZ538" t="s">
        <v>40</v>
      </c>
      <c r="BA538" t="s">
        <v>49</v>
      </c>
      <c r="BB538">
        <v>5554.11</v>
      </c>
      <c r="BC538">
        <v>5554.11</v>
      </c>
      <c r="BD538">
        <v>15251.16</v>
      </c>
      <c r="BE538">
        <v>15251.16</v>
      </c>
      <c r="BF538">
        <v>9275.68</v>
      </c>
      <c r="BG538">
        <v>0</v>
      </c>
      <c r="BH538">
        <v>-946.79</v>
      </c>
      <c r="BI538">
        <v>6863.18</v>
      </c>
      <c r="BJ538">
        <v>3223.58</v>
      </c>
      <c r="BK538">
        <v>5164.3999999999996</v>
      </c>
      <c r="BL538">
        <v>-8750.26</v>
      </c>
      <c r="BM538">
        <v>0</v>
      </c>
      <c r="BN538">
        <v>8750.26</v>
      </c>
      <c r="BO538">
        <v>3581.55</v>
      </c>
      <c r="BP538" s="3">
        <v>45690</v>
      </c>
      <c r="BQ538">
        <v>8750.26</v>
      </c>
      <c r="BR538" s="3">
        <v>45643</v>
      </c>
      <c r="BS538" t="s">
        <v>697</v>
      </c>
    </row>
    <row r="539" spans="1:71" x14ac:dyDescent="0.25">
      <c r="A539" t="s">
        <v>694</v>
      </c>
      <c r="B539" t="s">
        <v>579</v>
      </c>
      <c r="C539" s="2">
        <f>HYPERLINK("https://szao.dolgi.msk.ru/account/3470300351/", 3470300351)</f>
        <v>3470300351</v>
      </c>
      <c r="D539" t="s">
        <v>29</v>
      </c>
      <c r="E539">
        <v>197810.75</v>
      </c>
      <c r="AX539">
        <v>26.73</v>
      </c>
      <c r="AY539">
        <v>26.47</v>
      </c>
      <c r="AZ539" t="s">
        <v>56</v>
      </c>
      <c r="BA539" t="s">
        <v>36</v>
      </c>
      <c r="BB539">
        <v>197810.75</v>
      </c>
      <c r="BC539">
        <v>197810.75</v>
      </c>
      <c r="BD539">
        <v>197810.75</v>
      </c>
      <c r="BE539">
        <v>197810.75</v>
      </c>
      <c r="BF539">
        <v>190337.15</v>
      </c>
      <c r="BG539">
        <v>24776.68</v>
      </c>
      <c r="BH539">
        <v>27943.22</v>
      </c>
      <c r="BI539">
        <v>67772.070000000007</v>
      </c>
      <c r="BJ539">
        <v>18153.66</v>
      </c>
      <c r="BK539">
        <v>35757.11</v>
      </c>
      <c r="BL539">
        <v>19178.07</v>
      </c>
      <c r="BM539">
        <v>4229.9399999999996</v>
      </c>
      <c r="BP539" s="3">
        <v>45305</v>
      </c>
      <c r="BQ539">
        <v>31.51</v>
      </c>
      <c r="BR539" s="3">
        <v>45666</v>
      </c>
      <c r="BS539" t="s">
        <v>698</v>
      </c>
    </row>
    <row r="540" spans="1:71" x14ac:dyDescent="0.25">
      <c r="A540" t="s">
        <v>694</v>
      </c>
      <c r="B540" t="s">
        <v>579</v>
      </c>
      <c r="C540" s="2">
        <f>HYPERLINK("https://szao.dolgi.msk.ru/account/3470300597/", 3470300597)</f>
        <v>3470300597</v>
      </c>
      <c r="D540" t="s">
        <v>29</v>
      </c>
      <c r="E540">
        <v>16281.65</v>
      </c>
      <c r="AX540">
        <v>11.74</v>
      </c>
      <c r="AY540">
        <v>6.49</v>
      </c>
      <c r="AZ540" t="s">
        <v>40</v>
      </c>
      <c r="BA540" t="s">
        <v>63</v>
      </c>
      <c r="BB540">
        <v>16281.65</v>
      </c>
      <c r="BC540">
        <v>16281.65</v>
      </c>
      <c r="BD540">
        <v>16281.65</v>
      </c>
      <c r="BE540">
        <v>16281.65</v>
      </c>
      <c r="BF540">
        <v>13774.81</v>
      </c>
      <c r="BG540">
        <v>1916.99</v>
      </c>
      <c r="BH540">
        <v>1847.45</v>
      </c>
      <c r="BI540">
        <v>5775.48</v>
      </c>
      <c r="BJ540">
        <v>1483.51</v>
      </c>
      <c r="BK540">
        <v>2418.88</v>
      </c>
      <c r="BL540">
        <v>2370.9</v>
      </c>
      <c r="BM540">
        <v>468.44</v>
      </c>
      <c r="BP540" s="3">
        <v>45653</v>
      </c>
      <c r="BQ540">
        <v>2249.4899999999998</v>
      </c>
      <c r="BR540" s="3">
        <v>45012</v>
      </c>
      <c r="BS540" t="s">
        <v>699</v>
      </c>
    </row>
    <row r="541" spans="1:71" x14ac:dyDescent="0.25">
      <c r="A541" t="s">
        <v>694</v>
      </c>
      <c r="B541" t="s">
        <v>227</v>
      </c>
      <c r="C541" s="2">
        <f>HYPERLINK("https://szao.dolgi.msk.ru/account/3470300378/", 3470300378)</f>
        <v>3470300378</v>
      </c>
      <c r="D541" t="s">
        <v>29</v>
      </c>
      <c r="E541">
        <v>12284.16</v>
      </c>
      <c r="AX541">
        <v>2.0299999999999998</v>
      </c>
      <c r="AY541">
        <v>2.06</v>
      </c>
      <c r="AZ541" t="s">
        <v>35</v>
      </c>
      <c r="BA541" t="s">
        <v>31</v>
      </c>
      <c r="BB541">
        <v>12284.16</v>
      </c>
      <c r="BC541">
        <v>12284.16</v>
      </c>
      <c r="BD541">
        <v>12284.16</v>
      </c>
      <c r="BE541">
        <v>12284.16</v>
      </c>
      <c r="BF541">
        <v>6312.18</v>
      </c>
      <c r="BG541">
        <v>632.95000000000005</v>
      </c>
      <c r="BH541">
        <v>2346.38</v>
      </c>
      <c r="BI541">
        <v>4322.01</v>
      </c>
      <c r="BJ541">
        <v>1165.74</v>
      </c>
      <c r="BK541">
        <v>2734.22</v>
      </c>
      <c r="BL541">
        <v>904.21</v>
      </c>
      <c r="BM541">
        <v>178.65</v>
      </c>
      <c r="BO541">
        <v>5971.98</v>
      </c>
      <c r="BP541" s="3">
        <v>45677</v>
      </c>
      <c r="BQ541">
        <v>5971.98</v>
      </c>
    </row>
    <row r="542" spans="1:71" x14ac:dyDescent="0.25">
      <c r="A542" t="s">
        <v>694</v>
      </c>
      <c r="B542" t="s">
        <v>473</v>
      </c>
      <c r="C542" s="2">
        <f>HYPERLINK("https://szao.dolgi.msk.ru/account/3470547477/", 3470547477)</f>
        <v>3470547477</v>
      </c>
      <c r="D542" t="s">
        <v>29</v>
      </c>
      <c r="E542">
        <v>27677.32</v>
      </c>
      <c r="AX542">
        <v>3.79</v>
      </c>
      <c r="AY542">
        <v>3.82</v>
      </c>
      <c r="AZ542" t="s">
        <v>40</v>
      </c>
      <c r="BA542" t="s">
        <v>49</v>
      </c>
      <c r="BB542">
        <v>27677.32</v>
      </c>
      <c r="BC542">
        <v>27677.32</v>
      </c>
      <c r="BD542">
        <v>27677.32</v>
      </c>
      <c r="BE542">
        <v>27677.32</v>
      </c>
      <c r="BF542">
        <v>27248.52</v>
      </c>
      <c r="BG542">
        <v>5959.44</v>
      </c>
      <c r="BH542">
        <v>2488.2800000000002</v>
      </c>
      <c r="BI542">
        <v>6045.32</v>
      </c>
      <c r="BJ542">
        <v>1702.48</v>
      </c>
      <c r="BK542">
        <v>3217.4</v>
      </c>
      <c r="BL542">
        <v>6900.92</v>
      </c>
      <c r="BM542">
        <v>1363.48</v>
      </c>
      <c r="BN542">
        <v>6812.13</v>
      </c>
      <c r="BP542" s="3">
        <v>45692</v>
      </c>
      <c r="BQ542">
        <v>6812.13</v>
      </c>
      <c r="BR542" s="3">
        <v>45079</v>
      </c>
      <c r="BS542" t="s">
        <v>700</v>
      </c>
    </row>
    <row r="543" spans="1:71" x14ac:dyDescent="0.25">
      <c r="A543" t="s">
        <v>694</v>
      </c>
      <c r="B543" t="s">
        <v>88</v>
      </c>
      <c r="C543" s="2">
        <f>HYPERLINK("https://szao.dolgi.msk.ru/account/3470140298/", 3470140298)</f>
        <v>3470140298</v>
      </c>
      <c r="D543" t="s">
        <v>29</v>
      </c>
      <c r="E543">
        <v>8627.23</v>
      </c>
      <c r="AX543">
        <v>2.59</v>
      </c>
      <c r="AY543">
        <v>2.5299999999999998</v>
      </c>
      <c r="AZ543" t="s">
        <v>30</v>
      </c>
      <c r="BA543" t="s">
        <v>31</v>
      </c>
      <c r="BB543">
        <v>8627.23</v>
      </c>
      <c r="BC543">
        <v>8627.23</v>
      </c>
      <c r="BD543">
        <v>8627.23</v>
      </c>
      <c r="BE543">
        <v>8627.23</v>
      </c>
      <c r="BF543">
        <v>5222.54</v>
      </c>
      <c r="BG543">
        <v>2042.33</v>
      </c>
      <c r="BH543">
        <v>571.39</v>
      </c>
      <c r="BI543">
        <v>1764.67</v>
      </c>
      <c r="BJ543">
        <v>490.56</v>
      </c>
      <c r="BK543">
        <v>819.64</v>
      </c>
      <c r="BL543">
        <v>2401.04</v>
      </c>
      <c r="BM543">
        <v>537.6</v>
      </c>
      <c r="BP543" s="3">
        <v>45635</v>
      </c>
      <c r="BQ543">
        <v>8455.81</v>
      </c>
      <c r="BR543" s="3">
        <v>45551</v>
      </c>
      <c r="BS543" t="s">
        <v>701</v>
      </c>
    </row>
    <row r="544" spans="1:71" x14ac:dyDescent="0.25">
      <c r="A544" t="s">
        <v>702</v>
      </c>
      <c r="B544" t="s">
        <v>139</v>
      </c>
      <c r="C544" s="2">
        <f>HYPERLINK("https://szao.dolgi.msk.ru/account/3470144571/", 3470144571)</f>
        <v>3470144571</v>
      </c>
      <c r="D544" t="s">
        <v>29</v>
      </c>
      <c r="E544">
        <v>18853.87</v>
      </c>
      <c r="AX544">
        <v>2.84</v>
      </c>
      <c r="AY544">
        <v>2.86</v>
      </c>
      <c r="AZ544" t="s">
        <v>69</v>
      </c>
      <c r="BA544" t="s">
        <v>31</v>
      </c>
      <c r="BB544">
        <v>18853.87</v>
      </c>
      <c r="BC544">
        <v>18853.87</v>
      </c>
      <c r="BD544">
        <v>19186.330000000002</v>
      </c>
      <c r="BE544">
        <v>19186.330000000002</v>
      </c>
      <c r="BF544">
        <v>12261.49</v>
      </c>
      <c r="BG544">
        <v>5229.45</v>
      </c>
      <c r="BH544">
        <v>4915.84</v>
      </c>
      <c r="BI544">
        <v>-312.72000000000003</v>
      </c>
      <c r="BJ544">
        <v>-19.739999999999998</v>
      </c>
      <c r="BK544">
        <v>3965.46</v>
      </c>
      <c r="BL544">
        <v>4085.25</v>
      </c>
      <c r="BM544">
        <v>990.33</v>
      </c>
      <c r="BP544" s="3">
        <v>45587</v>
      </c>
      <c r="BQ544">
        <v>6870.06</v>
      </c>
      <c r="BR544" s="3">
        <v>45488</v>
      </c>
      <c r="BS544" t="s">
        <v>703</v>
      </c>
    </row>
    <row r="545" spans="1:71" x14ac:dyDescent="0.25">
      <c r="A545" t="s">
        <v>702</v>
      </c>
      <c r="B545" t="s">
        <v>100</v>
      </c>
      <c r="C545" s="2">
        <f>HYPERLINK("https://szao.dolgi.msk.ru/account/3470143886/", 3470143886)</f>
        <v>3470143886</v>
      </c>
      <c r="D545" t="s">
        <v>29</v>
      </c>
      <c r="E545">
        <v>196776.55</v>
      </c>
      <c r="AX545">
        <v>25.09</v>
      </c>
      <c r="AY545">
        <v>20.059999999999999</v>
      </c>
      <c r="AZ545" t="s">
        <v>69</v>
      </c>
      <c r="BA545" t="s">
        <v>36</v>
      </c>
      <c r="BB545">
        <v>196776.55</v>
      </c>
      <c r="BC545">
        <v>196776.55</v>
      </c>
      <c r="BD545">
        <v>196776.55</v>
      </c>
      <c r="BE545">
        <v>196776.55</v>
      </c>
      <c r="BF545">
        <v>186965.45</v>
      </c>
      <c r="BG545">
        <v>21468.18</v>
      </c>
      <c r="BH545">
        <v>26133.65</v>
      </c>
      <c r="BI545">
        <v>47313.26</v>
      </c>
      <c r="BJ545">
        <v>18835.330000000002</v>
      </c>
      <c r="BK545">
        <v>34614.51</v>
      </c>
      <c r="BL545">
        <v>39625</v>
      </c>
      <c r="BM545">
        <v>8786.6200000000008</v>
      </c>
      <c r="BP545" s="3">
        <v>45596</v>
      </c>
      <c r="BQ545">
        <v>0</v>
      </c>
      <c r="BR545" s="3">
        <v>45573</v>
      </c>
      <c r="BS545" t="s">
        <v>704</v>
      </c>
    </row>
    <row r="546" spans="1:71" x14ac:dyDescent="0.25">
      <c r="A546" t="s">
        <v>702</v>
      </c>
      <c r="B546" t="s">
        <v>410</v>
      </c>
      <c r="C546" s="2">
        <f>HYPERLINK("https://szao.dolgi.msk.ru/account/3470144459/", 3470144459)</f>
        <v>3470144459</v>
      </c>
      <c r="D546" t="s">
        <v>29</v>
      </c>
      <c r="E546">
        <v>9944.61</v>
      </c>
      <c r="AX546">
        <v>2.0499999999999998</v>
      </c>
      <c r="AY546">
        <v>2.11</v>
      </c>
      <c r="AZ546" t="s">
        <v>40</v>
      </c>
      <c r="BA546" t="s">
        <v>31</v>
      </c>
      <c r="BB546">
        <v>9944.61</v>
      </c>
      <c r="BC546">
        <v>9944.61</v>
      </c>
      <c r="BD546">
        <v>9944.61</v>
      </c>
      <c r="BE546">
        <v>9944.61</v>
      </c>
      <c r="BF546">
        <v>5222.58</v>
      </c>
      <c r="BG546">
        <v>2846.61</v>
      </c>
      <c r="BH546">
        <v>1096.33</v>
      </c>
      <c r="BI546">
        <v>2123.4</v>
      </c>
      <c r="BJ546">
        <v>598</v>
      </c>
      <c r="BK546">
        <v>1300.79</v>
      </c>
      <c r="BL546">
        <v>1593.26</v>
      </c>
      <c r="BM546">
        <v>386.22</v>
      </c>
      <c r="BN546">
        <v>4515.55</v>
      </c>
      <c r="BP546" s="3">
        <v>45685</v>
      </c>
      <c r="BQ546">
        <v>4515.55</v>
      </c>
      <c r="BR546" s="3">
        <v>44743</v>
      </c>
      <c r="BS546" t="s">
        <v>705</v>
      </c>
    </row>
    <row r="547" spans="1:71" x14ac:dyDescent="0.25">
      <c r="A547" t="s">
        <v>706</v>
      </c>
      <c r="B547" t="s">
        <v>225</v>
      </c>
      <c r="C547" s="2">
        <f>HYPERLINK("https://szao.dolgi.msk.ru/account/3470145099/", 3470145099)</f>
        <v>3470145099</v>
      </c>
      <c r="D547" t="s">
        <v>29</v>
      </c>
      <c r="E547">
        <v>88768.8</v>
      </c>
      <c r="AX547">
        <v>18.7</v>
      </c>
      <c r="AY547">
        <v>18.25</v>
      </c>
      <c r="AZ547" t="s">
        <v>40</v>
      </c>
      <c r="BA547" t="s">
        <v>36</v>
      </c>
      <c r="BB547">
        <v>88768.8</v>
      </c>
      <c r="BC547">
        <v>88768.8</v>
      </c>
      <c r="BD547">
        <v>90622.81</v>
      </c>
      <c r="BE547">
        <v>90622.81</v>
      </c>
      <c r="BF547">
        <v>83905.85</v>
      </c>
      <c r="BG547">
        <v>22349.1</v>
      </c>
      <c r="BH547">
        <v>787.03</v>
      </c>
      <c r="BI547">
        <v>8850.25</v>
      </c>
      <c r="BJ547">
        <v>757.86</v>
      </c>
      <c r="BK547">
        <v>-1854.01</v>
      </c>
      <c r="BL547">
        <v>50858.559999999998</v>
      </c>
      <c r="BM547">
        <v>7020.01</v>
      </c>
      <c r="BN547">
        <v>24536.35</v>
      </c>
      <c r="BP547" s="3">
        <v>45677</v>
      </c>
      <c r="BQ547">
        <v>24536.35</v>
      </c>
      <c r="BR547" s="3">
        <v>45287</v>
      </c>
      <c r="BS547" t="s">
        <v>707</v>
      </c>
    </row>
    <row r="548" spans="1:71" x14ac:dyDescent="0.25">
      <c r="A548" t="s">
        <v>706</v>
      </c>
      <c r="B548" t="s">
        <v>335</v>
      </c>
      <c r="C548" s="2">
        <f>HYPERLINK("https://szao.dolgi.msk.ru/account/3470145398/", 3470145398)</f>
        <v>3470145398</v>
      </c>
      <c r="D548" t="s">
        <v>29</v>
      </c>
      <c r="E548">
        <v>245898.4</v>
      </c>
      <c r="AX548">
        <v>15.3</v>
      </c>
      <c r="AY548">
        <v>15.07</v>
      </c>
      <c r="AZ548" t="s">
        <v>45</v>
      </c>
      <c r="BA548" t="s">
        <v>36</v>
      </c>
      <c r="BB548">
        <v>245898.4</v>
      </c>
      <c r="BC548">
        <v>245898.4</v>
      </c>
      <c r="BD548">
        <v>245898.4</v>
      </c>
      <c r="BE548">
        <v>245898.4</v>
      </c>
      <c r="BF548">
        <v>229586.2</v>
      </c>
      <c r="BG548">
        <v>16053.07</v>
      </c>
      <c r="BH548">
        <v>31880.61</v>
      </c>
      <c r="BI548">
        <v>90814.82</v>
      </c>
      <c r="BJ548">
        <v>24639.86</v>
      </c>
      <c r="BK548">
        <v>46015.44</v>
      </c>
      <c r="BL548">
        <v>31785.75</v>
      </c>
      <c r="BM548">
        <v>4708.8500000000004</v>
      </c>
      <c r="BP548" s="3">
        <v>45342</v>
      </c>
      <c r="BQ548">
        <v>14303.13</v>
      </c>
      <c r="BR548" s="3">
        <v>45638</v>
      </c>
      <c r="BS548" t="s">
        <v>708</v>
      </c>
    </row>
    <row r="549" spans="1:71" x14ac:dyDescent="0.25">
      <c r="A549" t="s">
        <v>709</v>
      </c>
      <c r="B549" t="s">
        <v>136</v>
      </c>
      <c r="C549" s="2">
        <f>HYPERLINK("https://szao.dolgi.msk.ru/account/3470362552/", 3470362552)</f>
        <v>3470362552</v>
      </c>
      <c r="D549" t="s">
        <v>29</v>
      </c>
      <c r="E549">
        <v>68193.77</v>
      </c>
      <c r="AX549">
        <v>6.58</v>
      </c>
      <c r="AY549">
        <v>6.62</v>
      </c>
      <c r="AZ549" t="s">
        <v>40</v>
      </c>
      <c r="BA549" t="s">
        <v>66</v>
      </c>
      <c r="BB549">
        <v>68193.77</v>
      </c>
      <c r="BC549">
        <v>68193.77</v>
      </c>
      <c r="BD549">
        <v>68193.77</v>
      </c>
      <c r="BE549">
        <v>68193.77</v>
      </c>
      <c r="BF549">
        <v>57892.04</v>
      </c>
      <c r="BG549">
        <v>7789.59</v>
      </c>
      <c r="BH549">
        <v>8339.9</v>
      </c>
      <c r="BI549">
        <v>20488.84</v>
      </c>
      <c r="BJ549">
        <v>5678.85</v>
      </c>
      <c r="BK549">
        <v>10823.52</v>
      </c>
      <c r="BL549">
        <v>12969.4</v>
      </c>
      <c r="BM549">
        <v>2103.67</v>
      </c>
      <c r="BP549" s="3">
        <v>45667</v>
      </c>
      <c r="BQ549">
        <v>9971.27</v>
      </c>
      <c r="BR549" s="3">
        <v>45681</v>
      </c>
      <c r="BS549" t="s">
        <v>710</v>
      </c>
    </row>
    <row r="550" spans="1:71" x14ac:dyDescent="0.25">
      <c r="A550" t="s">
        <v>709</v>
      </c>
      <c r="B550" t="s">
        <v>287</v>
      </c>
      <c r="C550" s="2">
        <f>HYPERLINK("https://szao.dolgi.msk.ru/account/3470362763/", 3470362763)</f>
        <v>3470362763</v>
      </c>
      <c r="D550" t="s">
        <v>29</v>
      </c>
      <c r="E550">
        <v>50537.32</v>
      </c>
      <c r="AX550">
        <v>10.3</v>
      </c>
      <c r="AY550">
        <v>10.4</v>
      </c>
      <c r="AZ550" t="s">
        <v>45</v>
      </c>
      <c r="BA550" t="s">
        <v>63</v>
      </c>
      <c r="BB550">
        <v>50537.32</v>
      </c>
      <c r="BC550">
        <v>50537.32</v>
      </c>
      <c r="BD550">
        <v>50537.32</v>
      </c>
      <c r="BE550">
        <v>50537.32</v>
      </c>
      <c r="BF550">
        <v>45679.23</v>
      </c>
      <c r="BG550">
        <v>8818.5</v>
      </c>
      <c r="BH550">
        <v>3841.04</v>
      </c>
      <c r="BI550">
        <v>12046.16</v>
      </c>
      <c r="BJ550">
        <v>3292.38</v>
      </c>
      <c r="BK550">
        <v>5526.79</v>
      </c>
      <c r="BL550">
        <v>14596.52</v>
      </c>
      <c r="BM550">
        <v>2415.9299999999998</v>
      </c>
      <c r="BP550" s="3">
        <v>45348</v>
      </c>
      <c r="BQ550">
        <v>3772.01</v>
      </c>
    </row>
    <row r="551" spans="1:71" x14ac:dyDescent="0.25">
      <c r="A551" t="s">
        <v>709</v>
      </c>
      <c r="B551" t="s">
        <v>227</v>
      </c>
      <c r="C551" s="2">
        <f>HYPERLINK("https://szao.dolgi.msk.ru/account/3470362958/", 3470362958)</f>
        <v>3470362958</v>
      </c>
      <c r="D551" t="s">
        <v>29</v>
      </c>
      <c r="E551">
        <v>8474.1299999999992</v>
      </c>
      <c r="AX551">
        <v>4.0599999999999996</v>
      </c>
      <c r="AY551">
        <v>2.76</v>
      </c>
      <c r="AZ551" t="s">
        <v>40</v>
      </c>
      <c r="BA551" t="s">
        <v>49</v>
      </c>
      <c r="BB551">
        <v>8474.1299999999992</v>
      </c>
      <c r="BC551">
        <v>8474.1299999999992</v>
      </c>
      <c r="BD551">
        <v>8474.1299999999992</v>
      </c>
      <c r="BE551">
        <v>8474.1299999999992</v>
      </c>
      <c r="BF551">
        <v>1953.81</v>
      </c>
      <c r="BG551">
        <v>6822.38</v>
      </c>
      <c r="BH551">
        <v>44.85</v>
      </c>
      <c r="BI551">
        <v>159.25</v>
      </c>
      <c r="BJ551">
        <v>44.85</v>
      </c>
      <c r="BK551">
        <v>68.86</v>
      </c>
      <c r="BL551">
        <v>1149.81</v>
      </c>
      <c r="BM551">
        <v>184.13</v>
      </c>
      <c r="BN551">
        <v>1953.81</v>
      </c>
      <c r="BP551" s="3">
        <v>45692</v>
      </c>
      <c r="BQ551">
        <v>1953.81</v>
      </c>
    </row>
    <row r="552" spans="1:71" x14ac:dyDescent="0.25">
      <c r="A552" t="s">
        <v>711</v>
      </c>
      <c r="B552" t="s">
        <v>98</v>
      </c>
      <c r="C552" s="2">
        <f>HYPERLINK("https://szao.dolgi.msk.ru/account/3470148679/", 3470148679)</f>
        <v>3470148679</v>
      </c>
      <c r="D552" t="s">
        <v>29</v>
      </c>
      <c r="E552">
        <v>116227.72</v>
      </c>
      <c r="AX552">
        <v>18.190000000000001</v>
      </c>
      <c r="AY552">
        <v>17.43</v>
      </c>
      <c r="AZ552" t="s">
        <v>56</v>
      </c>
      <c r="BA552" t="s">
        <v>36</v>
      </c>
      <c r="BB552">
        <v>116227.72</v>
      </c>
      <c r="BC552">
        <v>116227.72</v>
      </c>
      <c r="BD552">
        <v>116227.72</v>
      </c>
      <c r="BE552">
        <v>116227.72</v>
      </c>
      <c r="BF552">
        <v>109561.17</v>
      </c>
      <c r="BG552">
        <v>22966.63</v>
      </c>
      <c r="BH552">
        <v>7648.73</v>
      </c>
      <c r="BI552">
        <v>20742.310000000001</v>
      </c>
      <c r="BJ552">
        <v>5578.67</v>
      </c>
      <c r="BK552">
        <v>10421.49</v>
      </c>
      <c r="BL552">
        <v>40206.6</v>
      </c>
      <c r="BM552">
        <v>8663.2900000000009</v>
      </c>
      <c r="BP552" s="3">
        <v>45306</v>
      </c>
      <c r="BQ552">
        <v>20013.98</v>
      </c>
      <c r="BR552" s="3">
        <v>45534</v>
      </c>
      <c r="BS552" t="s">
        <v>712</v>
      </c>
    </row>
    <row r="553" spans="1:71" x14ac:dyDescent="0.25">
      <c r="A553" t="s">
        <v>711</v>
      </c>
      <c r="B553" t="s">
        <v>473</v>
      </c>
      <c r="C553" s="2">
        <f>HYPERLINK("https://szao.dolgi.msk.ru/account/3470149778/", 3470149778)</f>
        <v>3470149778</v>
      </c>
      <c r="D553" t="s">
        <v>29</v>
      </c>
      <c r="E553">
        <v>49052.13</v>
      </c>
      <c r="AX553">
        <v>2.94</v>
      </c>
      <c r="AY553">
        <v>2.95</v>
      </c>
      <c r="AZ553" t="s">
        <v>40</v>
      </c>
      <c r="BA553" t="s">
        <v>31</v>
      </c>
      <c r="BB553">
        <v>49052.13</v>
      </c>
      <c r="BC553">
        <v>49052.13</v>
      </c>
      <c r="BD553">
        <v>49052.13</v>
      </c>
      <c r="BE553">
        <v>49052.13</v>
      </c>
      <c r="BF553">
        <v>32446.1</v>
      </c>
      <c r="BG553">
        <v>4090.59</v>
      </c>
      <c r="BH553">
        <v>7464.84</v>
      </c>
      <c r="BI553">
        <v>18135.96</v>
      </c>
      <c r="BJ553">
        <v>5107.53</v>
      </c>
      <c r="BK553">
        <v>9652.11</v>
      </c>
      <c r="BL553">
        <v>3826.44</v>
      </c>
      <c r="BM553">
        <v>774.66</v>
      </c>
      <c r="BP553" s="3">
        <v>45645</v>
      </c>
      <c r="BQ553">
        <v>16223.05</v>
      </c>
    </row>
    <row r="554" spans="1:71" x14ac:dyDescent="0.25">
      <c r="A554" t="s">
        <v>711</v>
      </c>
      <c r="B554" t="s">
        <v>713</v>
      </c>
      <c r="C554" s="2">
        <f>HYPERLINK("https://szao.dolgi.msk.ru/account/3470148169/", 3470148169)</f>
        <v>3470148169</v>
      </c>
      <c r="D554" t="s">
        <v>29</v>
      </c>
      <c r="E554">
        <v>7459.2</v>
      </c>
      <c r="AX554">
        <v>2.08</v>
      </c>
      <c r="AY554">
        <v>1.9</v>
      </c>
      <c r="AZ554" t="s">
        <v>40</v>
      </c>
      <c r="BA554" t="s">
        <v>31</v>
      </c>
      <c r="BB554">
        <v>7459.2</v>
      </c>
      <c r="BC554">
        <v>7459.2</v>
      </c>
      <c r="BD554">
        <v>7459.2</v>
      </c>
      <c r="BE554">
        <v>7459.2</v>
      </c>
      <c r="BF554">
        <v>3541.46</v>
      </c>
      <c r="BG554">
        <v>2862.83</v>
      </c>
      <c r="BH554">
        <v>350.12</v>
      </c>
      <c r="BI554">
        <v>601.77</v>
      </c>
      <c r="BJ554">
        <v>169.48</v>
      </c>
      <c r="BK554">
        <v>398.9</v>
      </c>
      <c r="BL554">
        <v>2558.1999999999998</v>
      </c>
      <c r="BM554">
        <v>517.9</v>
      </c>
      <c r="BP554" s="3">
        <v>45636</v>
      </c>
      <c r="BQ554">
        <v>3384.02</v>
      </c>
    </row>
    <row r="555" spans="1:71" x14ac:dyDescent="0.25">
      <c r="A555" t="s">
        <v>711</v>
      </c>
      <c r="B555" t="s">
        <v>432</v>
      </c>
      <c r="C555" s="2">
        <f>HYPERLINK("https://szao.dolgi.msk.ru/account/3470148409/", 3470148409)</f>
        <v>3470148409</v>
      </c>
      <c r="D555" t="s">
        <v>29</v>
      </c>
      <c r="E555">
        <v>9553.07</v>
      </c>
      <c r="AX555">
        <v>2.76</v>
      </c>
      <c r="AY555">
        <v>2.75</v>
      </c>
      <c r="AZ555" t="s">
        <v>40</v>
      </c>
      <c r="BA555" t="s">
        <v>31</v>
      </c>
      <c r="BB555">
        <v>9553.07</v>
      </c>
      <c r="BC555">
        <v>9553.07</v>
      </c>
      <c r="BD555">
        <v>9553.07</v>
      </c>
      <c r="BE555">
        <v>9553.07</v>
      </c>
      <c r="BF555">
        <v>6079.83</v>
      </c>
      <c r="BG555">
        <v>4125.47</v>
      </c>
      <c r="BH555">
        <v>380.4</v>
      </c>
      <c r="BI555">
        <v>76.680000000000007</v>
      </c>
      <c r="BJ555">
        <v>21.6</v>
      </c>
      <c r="BK555">
        <v>308.61</v>
      </c>
      <c r="BL555">
        <v>3859.05</v>
      </c>
      <c r="BM555">
        <v>781.26</v>
      </c>
      <c r="BP555" s="3">
        <v>45614</v>
      </c>
      <c r="BQ555">
        <v>3357.73</v>
      </c>
    </row>
    <row r="556" spans="1:71" x14ac:dyDescent="0.25">
      <c r="A556" t="s">
        <v>711</v>
      </c>
      <c r="B556" t="s">
        <v>714</v>
      </c>
      <c r="C556" s="2">
        <f>HYPERLINK("https://szao.dolgi.msk.ru/account/3470149444/", 3470149444)</f>
        <v>3470149444</v>
      </c>
      <c r="D556" t="s">
        <v>29</v>
      </c>
      <c r="E556">
        <v>87331.520000000004</v>
      </c>
      <c r="AX556">
        <v>20.260000000000002</v>
      </c>
      <c r="AY556">
        <v>18.05</v>
      </c>
      <c r="AZ556" t="s">
        <v>40</v>
      </c>
      <c r="BA556" t="s">
        <v>36</v>
      </c>
      <c r="BB556">
        <v>87331.520000000004</v>
      </c>
      <c r="BC556">
        <v>87331.520000000004</v>
      </c>
      <c r="BD556">
        <v>87331.520000000004</v>
      </c>
      <c r="BE556">
        <v>87331.520000000004</v>
      </c>
      <c r="BF556">
        <v>82492.87</v>
      </c>
      <c r="BG556">
        <v>18517.580000000002</v>
      </c>
      <c r="BH556">
        <v>10547.75</v>
      </c>
      <c r="BI556">
        <v>22332.93</v>
      </c>
      <c r="BJ556">
        <v>8000.88</v>
      </c>
      <c r="BK556">
        <v>10193.799999999999</v>
      </c>
      <c r="BL556">
        <v>16459.25</v>
      </c>
      <c r="BM556">
        <v>1279.33</v>
      </c>
      <c r="BP556" s="3">
        <v>45666</v>
      </c>
      <c r="BQ556">
        <v>2745.97</v>
      </c>
      <c r="BR556" s="3">
        <v>45534</v>
      </c>
      <c r="BS556" t="s">
        <v>715</v>
      </c>
    </row>
    <row r="557" spans="1:71" x14ac:dyDescent="0.25">
      <c r="A557" t="s">
        <v>716</v>
      </c>
      <c r="B557" t="s">
        <v>160</v>
      </c>
      <c r="C557" s="2">
        <f>HYPERLINK("https://szao.dolgi.msk.ru/account/3470426034/", 3470426034)</f>
        <v>3470426034</v>
      </c>
      <c r="D557" t="s">
        <v>29</v>
      </c>
      <c r="E557">
        <v>0</v>
      </c>
      <c r="AX557">
        <v>4.1399999999999997</v>
      </c>
      <c r="AZ557" t="s">
        <v>35</v>
      </c>
      <c r="BA557" t="s">
        <v>49</v>
      </c>
      <c r="BB557">
        <v>0</v>
      </c>
      <c r="BC557">
        <v>0</v>
      </c>
      <c r="BD557">
        <v>0</v>
      </c>
      <c r="BE557">
        <v>0</v>
      </c>
      <c r="BF557">
        <v>-5038.1499999999996</v>
      </c>
      <c r="BG557">
        <v>0</v>
      </c>
      <c r="BH557">
        <v>0</v>
      </c>
      <c r="BI557">
        <v>0</v>
      </c>
      <c r="BJ557">
        <v>0</v>
      </c>
      <c r="BK557">
        <v>0</v>
      </c>
      <c r="BL557">
        <v>0</v>
      </c>
      <c r="BM557">
        <v>0</v>
      </c>
      <c r="BO557">
        <v>5038.1499999999996</v>
      </c>
      <c r="BP557" s="3">
        <v>45679</v>
      </c>
      <c r="BQ557">
        <v>5038.1499999999996</v>
      </c>
      <c r="BR557" s="3">
        <v>44755</v>
      </c>
      <c r="BS557" t="s">
        <v>288</v>
      </c>
    </row>
    <row r="558" spans="1:71" x14ac:dyDescent="0.25">
      <c r="A558" t="s">
        <v>716</v>
      </c>
      <c r="B558" t="s">
        <v>550</v>
      </c>
      <c r="C558" s="2">
        <f>HYPERLINK("https://szao.dolgi.msk.ru/account/3470426114/", 3470426114)</f>
        <v>3470426114</v>
      </c>
      <c r="D558" t="s">
        <v>29</v>
      </c>
      <c r="E558">
        <v>308390.84000000003</v>
      </c>
      <c r="AX558">
        <v>33.549999999999997</v>
      </c>
      <c r="AY558">
        <v>28.14</v>
      </c>
      <c r="AZ558" t="s">
        <v>45</v>
      </c>
      <c r="BA558" t="s">
        <v>36</v>
      </c>
      <c r="BB558">
        <v>308390.84000000003</v>
      </c>
      <c r="BC558">
        <v>308390.84000000003</v>
      </c>
      <c r="BD558">
        <v>308390.84000000003</v>
      </c>
      <c r="BE558">
        <v>308390.84000000003</v>
      </c>
      <c r="BF558">
        <v>297433.44</v>
      </c>
      <c r="BG558">
        <v>72128.679999999993</v>
      </c>
      <c r="BH558">
        <v>29245.4</v>
      </c>
      <c r="BI558">
        <v>78268.88</v>
      </c>
      <c r="BJ558">
        <v>20878.32</v>
      </c>
      <c r="BK558">
        <v>30595.37</v>
      </c>
      <c r="BL558">
        <v>65122.06</v>
      </c>
      <c r="BM558">
        <v>12152.13</v>
      </c>
      <c r="BP558" s="3">
        <v>45401</v>
      </c>
      <c r="BQ558">
        <v>4418.49</v>
      </c>
      <c r="BR558" s="3">
        <v>45356</v>
      </c>
      <c r="BS558" t="s">
        <v>717</v>
      </c>
    </row>
    <row r="559" spans="1:71" x14ac:dyDescent="0.25">
      <c r="A559" t="s">
        <v>716</v>
      </c>
      <c r="B559" t="s">
        <v>552</v>
      </c>
      <c r="C559" s="2">
        <f>HYPERLINK("https://szao.dolgi.msk.ru/account/3470426325/", 3470426325)</f>
        <v>3470426325</v>
      </c>
      <c r="D559" t="s">
        <v>29</v>
      </c>
      <c r="E559">
        <v>135501.66</v>
      </c>
      <c r="AX559">
        <v>13.53</v>
      </c>
      <c r="AY559">
        <v>13.27</v>
      </c>
      <c r="AZ559" t="s">
        <v>69</v>
      </c>
      <c r="BA559" t="s">
        <v>36</v>
      </c>
      <c r="BB559">
        <v>135501.66</v>
      </c>
      <c r="BC559">
        <v>135501.66</v>
      </c>
      <c r="BD559">
        <v>135501.66</v>
      </c>
      <c r="BE559">
        <v>135501.66</v>
      </c>
      <c r="BF559">
        <v>125291.35</v>
      </c>
      <c r="BG559">
        <v>22733.21</v>
      </c>
      <c r="BH559">
        <v>15504.87</v>
      </c>
      <c r="BI559">
        <v>39673.980000000003</v>
      </c>
      <c r="BJ559">
        <v>10798.7</v>
      </c>
      <c r="BK559">
        <v>20443.07</v>
      </c>
      <c r="BL559">
        <v>21467.74</v>
      </c>
      <c r="BM559">
        <v>4880.09</v>
      </c>
      <c r="BP559" s="3">
        <v>45586</v>
      </c>
      <c r="BQ559">
        <v>1889.86</v>
      </c>
      <c r="BR559" s="3">
        <v>45170</v>
      </c>
      <c r="BS559" t="s">
        <v>718</v>
      </c>
    </row>
    <row r="560" spans="1:71" x14ac:dyDescent="0.25">
      <c r="A560" t="s">
        <v>716</v>
      </c>
      <c r="B560" t="s">
        <v>280</v>
      </c>
      <c r="C560" s="2">
        <f>HYPERLINK("https://szao.dolgi.msk.ru/account/3470426376/", 3470426376)</f>
        <v>3470426376</v>
      </c>
      <c r="D560" t="s">
        <v>29</v>
      </c>
      <c r="E560">
        <v>300680.82</v>
      </c>
      <c r="AX560">
        <v>32.68</v>
      </c>
      <c r="AY560">
        <v>26.6</v>
      </c>
      <c r="AZ560" t="s">
        <v>56</v>
      </c>
      <c r="BA560" t="s">
        <v>36</v>
      </c>
      <c r="BB560">
        <v>300680.82</v>
      </c>
      <c r="BC560">
        <v>300680.82</v>
      </c>
      <c r="BD560">
        <v>300680.82</v>
      </c>
      <c r="BE560">
        <v>300680.82</v>
      </c>
      <c r="BF560">
        <v>289375.93</v>
      </c>
      <c r="BG560">
        <v>78834.009999999995</v>
      </c>
      <c r="BH560">
        <v>32755.19</v>
      </c>
      <c r="BI560">
        <v>57629.68</v>
      </c>
      <c r="BJ560">
        <v>22685.919999999998</v>
      </c>
      <c r="BK560">
        <v>22561.279999999999</v>
      </c>
      <c r="BL560">
        <v>71987.53</v>
      </c>
      <c r="BM560">
        <v>14227.21</v>
      </c>
      <c r="BP560" s="3">
        <v>44519</v>
      </c>
      <c r="BQ560">
        <v>2108.06</v>
      </c>
      <c r="BR560" s="3">
        <v>45356</v>
      </c>
      <c r="BS560" t="s">
        <v>719</v>
      </c>
    </row>
    <row r="561" spans="1:71" x14ac:dyDescent="0.25">
      <c r="A561" t="s">
        <v>716</v>
      </c>
      <c r="B561" t="s">
        <v>354</v>
      </c>
      <c r="C561" s="2">
        <f>HYPERLINK("https://szao.dolgi.msk.ru/account/3470426552/", 3470426552)</f>
        <v>3470426552</v>
      </c>
      <c r="D561" t="s">
        <v>29</v>
      </c>
      <c r="E561">
        <v>13452.37</v>
      </c>
      <c r="AX561">
        <v>2.16</v>
      </c>
      <c r="AY561">
        <v>2.63</v>
      </c>
      <c r="AZ561" t="s">
        <v>40</v>
      </c>
      <c r="BA561" t="s">
        <v>31</v>
      </c>
      <c r="BB561">
        <v>13452.37</v>
      </c>
      <c r="BC561">
        <v>13452.37</v>
      </c>
      <c r="BD561">
        <v>15122.37</v>
      </c>
      <c r="BE561">
        <v>15122.37</v>
      </c>
      <c r="BF561">
        <v>20142.689999999999</v>
      </c>
      <c r="BG561">
        <v>-1000</v>
      </c>
      <c r="BH561">
        <v>939.42</v>
      </c>
      <c r="BI561">
        <v>8709.02</v>
      </c>
      <c r="BJ561">
        <v>1272.8699999999999</v>
      </c>
      <c r="BK561">
        <v>4201.0600000000004</v>
      </c>
      <c r="BL561">
        <v>-170</v>
      </c>
      <c r="BM561">
        <v>-500</v>
      </c>
      <c r="BN561">
        <v>18496.240000000002</v>
      </c>
      <c r="BO561">
        <v>5112.51</v>
      </c>
      <c r="BP561" s="3">
        <v>45692</v>
      </c>
      <c r="BQ561">
        <v>11802.83</v>
      </c>
      <c r="BR561" s="3">
        <v>45481</v>
      </c>
      <c r="BS561" t="s">
        <v>720</v>
      </c>
    </row>
    <row r="562" spans="1:71" x14ac:dyDescent="0.25">
      <c r="A562" t="s">
        <v>721</v>
      </c>
      <c r="B562" t="s">
        <v>152</v>
      </c>
      <c r="C562" s="2">
        <f>HYPERLINK("https://szao.dolgi.msk.ru/account/3470151392/", 3470151392)</f>
        <v>3470151392</v>
      </c>
      <c r="D562" t="s">
        <v>29</v>
      </c>
      <c r="E562">
        <v>224214.6</v>
      </c>
      <c r="AX562">
        <v>27.4</v>
      </c>
      <c r="AY562">
        <v>22.49</v>
      </c>
      <c r="AZ562" t="s">
        <v>45</v>
      </c>
      <c r="BA562" t="s">
        <v>36</v>
      </c>
      <c r="BB562">
        <v>224214.6</v>
      </c>
      <c r="BC562">
        <v>224214.6</v>
      </c>
      <c r="BD562">
        <v>224214.6</v>
      </c>
      <c r="BE562">
        <v>224214.6</v>
      </c>
      <c r="BF562">
        <v>219285.49</v>
      </c>
      <c r="BG562">
        <v>36871.089999999997</v>
      </c>
      <c r="BH562">
        <v>24250.31</v>
      </c>
      <c r="BI562">
        <v>70324.58</v>
      </c>
      <c r="BJ562">
        <v>18621.07</v>
      </c>
      <c r="BK562">
        <v>10552.9</v>
      </c>
      <c r="BL562">
        <v>53750.55</v>
      </c>
      <c r="BM562">
        <v>9844.1</v>
      </c>
      <c r="BN562">
        <v>5040.08</v>
      </c>
      <c r="BP562" s="3">
        <v>45696</v>
      </c>
      <c r="BQ562">
        <v>5040.08</v>
      </c>
      <c r="BR562" s="3">
        <v>45636</v>
      </c>
      <c r="BS562" t="s">
        <v>722</v>
      </c>
    </row>
    <row r="563" spans="1:71" x14ac:dyDescent="0.25">
      <c r="A563" t="s">
        <v>721</v>
      </c>
      <c r="B563" t="s">
        <v>481</v>
      </c>
      <c r="C563" s="2">
        <f>HYPERLINK("https://szao.dolgi.msk.ru/account/3470151552/", 3470151552)</f>
        <v>3470151552</v>
      </c>
      <c r="D563" t="s">
        <v>29</v>
      </c>
      <c r="E563">
        <v>13987.39</v>
      </c>
      <c r="AX563">
        <v>2.36</v>
      </c>
      <c r="AY563">
        <v>1.37</v>
      </c>
      <c r="AZ563" t="s">
        <v>40</v>
      </c>
      <c r="BA563" t="s">
        <v>31</v>
      </c>
      <c r="BB563">
        <v>13987.39</v>
      </c>
      <c r="BC563">
        <v>13987.39</v>
      </c>
      <c r="BD563">
        <v>13987.39</v>
      </c>
      <c r="BE563">
        <v>13987.39</v>
      </c>
      <c r="BF563">
        <v>3791.79</v>
      </c>
      <c r="BG563">
        <v>0</v>
      </c>
      <c r="BH563">
        <v>0</v>
      </c>
      <c r="BI563">
        <v>2807.24</v>
      </c>
      <c r="BJ563">
        <v>0</v>
      </c>
      <c r="BK563">
        <v>0</v>
      </c>
      <c r="BL563">
        <v>10539.07</v>
      </c>
      <c r="BM563">
        <v>641.08000000000004</v>
      </c>
      <c r="BO563">
        <v>10195.6</v>
      </c>
      <c r="BP563" s="3">
        <v>45674</v>
      </c>
      <c r="BQ563">
        <v>10195.6</v>
      </c>
      <c r="BR563" s="3">
        <v>45280</v>
      </c>
      <c r="BS563" t="s">
        <v>723</v>
      </c>
    </row>
    <row r="564" spans="1:71" x14ac:dyDescent="0.25">
      <c r="A564" t="s">
        <v>721</v>
      </c>
      <c r="B564" t="s">
        <v>106</v>
      </c>
      <c r="C564" s="2">
        <f>HYPERLINK("https://szao.dolgi.msk.ru/account/3470151704/", 3470151704)</f>
        <v>3470151704</v>
      </c>
      <c r="D564" t="s">
        <v>29</v>
      </c>
      <c r="E564">
        <v>17441.89</v>
      </c>
      <c r="AX564">
        <v>3.32</v>
      </c>
      <c r="AY564">
        <v>3.51</v>
      </c>
      <c r="AZ564" t="s">
        <v>30</v>
      </c>
      <c r="BA564" t="s">
        <v>49</v>
      </c>
      <c r="BB564">
        <v>17441.89</v>
      </c>
      <c r="BC564">
        <v>17441.89</v>
      </c>
      <c r="BD564">
        <v>17441.89</v>
      </c>
      <c r="BE564">
        <v>17441.89</v>
      </c>
      <c r="BF564">
        <v>13110.03</v>
      </c>
      <c r="BG564">
        <v>3251.34</v>
      </c>
      <c r="BH564">
        <v>1580.55</v>
      </c>
      <c r="BI564">
        <v>3699.18</v>
      </c>
      <c r="BJ564">
        <v>1041.77</v>
      </c>
      <c r="BK564">
        <v>2013.23</v>
      </c>
      <c r="BL564">
        <v>4938.12</v>
      </c>
      <c r="BM564">
        <v>917.7</v>
      </c>
      <c r="BO564">
        <v>4966.1099999999997</v>
      </c>
      <c r="BP564" s="3">
        <v>45688</v>
      </c>
      <c r="BQ564">
        <v>4966.1099999999997</v>
      </c>
      <c r="BR564" s="3">
        <v>45513</v>
      </c>
      <c r="BS564" t="s">
        <v>724</v>
      </c>
    </row>
    <row r="565" spans="1:71" x14ac:dyDescent="0.25">
      <c r="A565" t="s">
        <v>721</v>
      </c>
      <c r="B565" t="s">
        <v>359</v>
      </c>
      <c r="C565" s="2">
        <f>HYPERLINK("https://szao.dolgi.msk.ru/account/3470152002/", 3470152002)</f>
        <v>3470152002</v>
      </c>
      <c r="D565" t="s">
        <v>29</v>
      </c>
      <c r="E565">
        <v>174635.61</v>
      </c>
      <c r="AX565">
        <v>24.68</v>
      </c>
      <c r="AY565">
        <v>19.11</v>
      </c>
      <c r="AZ565" t="s">
        <v>40</v>
      </c>
      <c r="BA565" t="s">
        <v>36</v>
      </c>
      <c r="BB565">
        <v>174635.61</v>
      </c>
      <c r="BC565">
        <v>174635.61</v>
      </c>
      <c r="BD565">
        <v>174635.61</v>
      </c>
      <c r="BE565">
        <v>174635.61</v>
      </c>
      <c r="BF565">
        <v>165499.28</v>
      </c>
      <c r="BG565">
        <v>9672.23</v>
      </c>
      <c r="BH565">
        <v>15466.47</v>
      </c>
      <c r="BI565">
        <v>69209.38</v>
      </c>
      <c r="BJ565">
        <v>18700.310000000001</v>
      </c>
      <c r="BK565">
        <v>21344.36</v>
      </c>
      <c r="BL565">
        <v>36197.81</v>
      </c>
      <c r="BM565">
        <v>4045.05</v>
      </c>
      <c r="BN565">
        <v>958.98</v>
      </c>
      <c r="BP565" s="3">
        <v>45682</v>
      </c>
      <c r="BQ565">
        <v>958.98</v>
      </c>
      <c r="BR565" s="3">
        <v>45399</v>
      </c>
      <c r="BS565" t="s">
        <v>128</v>
      </c>
    </row>
    <row r="566" spans="1:71" x14ac:dyDescent="0.25">
      <c r="A566" t="s">
        <v>721</v>
      </c>
      <c r="B566" t="s">
        <v>88</v>
      </c>
      <c r="C566" s="2">
        <f>HYPERLINK("https://szao.dolgi.msk.ru/account/3470152029/", 3470152029)</f>
        <v>3470152029</v>
      </c>
      <c r="D566" t="s">
        <v>29</v>
      </c>
      <c r="E566">
        <v>79264.95</v>
      </c>
      <c r="AX566">
        <v>12.97</v>
      </c>
      <c r="AY566">
        <v>12.43</v>
      </c>
      <c r="AZ566" t="s">
        <v>45</v>
      </c>
      <c r="BA566" t="s">
        <v>36</v>
      </c>
      <c r="BB566">
        <v>79264.95</v>
      </c>
      <c r="BC566">
        <v>79264.95</v>
      </c>
      <c r="BD566">
        <v>79264.95</v>
      </c>
      <c r="BE566">
        <v>79264.95</v>
      </c>
      <c r="BF566">
        <v>72887.3</v>
      </c>
      <c r="BG566">
        <v>7475.17</v>
      </c>
      <c r="BH566">
        <v>7258.63</v>
      </c>
      <c r="BI566">
        <v>23291.86</v>
      </c>
      <c r="BJ566">
        <v>5164.13</v>
      </c>
      <c r="BK566">
        <v>10171.280000000001</v>
      </c>
      <c r="BL566">
        <v>20746.669999999998</v>
      </c>
      <c r="BM566">
        <v>5157.21</v>
      </c>
      <c r="BP566" s="3">
        <v>45622</v>
      </c>
      <c r="BQ566">
        <v>1745.26</v>
      </c>
      <c r="BR566" s="3">
        <v>45513</v>
      </c>
      <c r="BS566" t="s">
        <v>725</v>
      </c>
    </row>
    <row r="567" spans="1:71" x14ac:dyDescent="0.25">
      <c r="A567" t="s">
        <v>726</v>
      </c>
      <c r="B567" t="s">
        <v>173</v>
      </c>
      <c r="C567" s="2">
        <f>HYPERLINK("https://szao.dolgi.msk.ru/account/3470152168/", 3470152168)</f>
        <v>3470152168</v>
      </c>
      <c r="D567" t="s">
        <v>29</v>
      </c>
      <c r="E567">
        <v>55175.66</v>
      </c>
      <c r="AX567">
        <v>8.67</v>
      </c>
      <c r="AY567">
        <v>8.1300000000000008</v>
      </c>
      <c r="AZ567" t="s">
        <v>56</v>
      </c>
      <c r="BA567" t="s">
        <v>66</v>
      </c>
      <c r="BB567">
        <v>55175.66</v>
      </c>
      <c r="BC567">
        <v>55175.66</v>
      </c>
      <c r="BD567">
        <v>55175.66</v>
      </c>
      <c r="BE567">
        <v>55175.66</v>
      </c>
      <c r="BF567">
        <v>48385.37</v>
      </c>
      <c r="BG567">
        <v>4267.21</v>
      </c>
      <c r="BH567">
        <v>9407.91</v>
      </c>
      <c r="BI567">
        <v>22576.32</v>
      </c>
      <c r="BJ567">
        <v>6111.9</v>
      </c>
      <c r="BK567">
        <v>6253.68</v>
      </c>
      <c r="BL567">
        <v>5472.25</v>
      </c>
      <c r="BM567">
        <v>1086.3900000000001</v>
      </c>
      <c r="BP567" s="3">
        <v>45653</v>
      </c>
      <c r="BQ567">
        <v>2983.28</v>
      </c>
      <c r="BR567" s="3">
        <v>45513</v>
      </c>
      <c r="BS567" t="s">
        <v>727</v>
      </c>
    </row>
    <row r="568" spans="1:71" x14ac:dyDescent="0.25">
      <c r="A568" t="s">
        <v>726</v>
      </c>
      <c r="B568" t="s">
        <v>284</v>
      </c>
      <c r="C568" s="2">
        <f>HYPERLINK("https://szao.dolgi.msk.ru/account/3470152707/", 3470152707)</f>
        <v>3470152707</v>
      </c>
      <c r="D568" t="s">
        <v>29</v>
      </c>
      <c r="E568">
        <v>8359.76</v>
      </c>
      <c r="AX568">
        <v>3.66</v>
      </c>
      <c r="AY568">
        <v>2.29</v>
      </c>
      <c r="AZ568" t="s">
        <v>30</v>
      </c>
      <c r="BA568" t="s">
        <v>49</v>
      </c>
      <c r="BB568">
        <v>8359.76</v>
      </c>
      <c r="BC568">
        <v>8359.76</v>
      </c>
      <c r="BD568">
        <v>14620.16</v>
      </c>
      <c r="BE568">
        <v>14620.16</v>
      </c>
      <c r="BF568">
        <v>4709.3100000000004</v>
      </c>
      <c r="BG568">
        <v>5839.02</v>
      </c>
      <c r="BH568">
        <v>209.63</v>
      </c>
      <c r="BI568">
        <v>-6260.4</v>
      </c>
      <c r="BJ568">
        <v>127.38</v>
      </c>
      <c r="BK568">
        <v>288.42</v>
      </c>
      <c r="BL568">
        <v>6342.77</v>
      </c>
      <c r="BM568">
        <v>1812.94</v>
      </c>
      <c r="BN568">
        <v>6208.86</v>
      </c>
      <c r="BO568">
        <v>3438.11</v>
      </c>
      <c r="BP568" s="3">
        <v>45679</v>
      </c>
      <c r="BQ568">
        <v>9646.9699999999993</v>
      </c>
      <c r="BR568" s="3">
        <v>45488</v>
      </c>
      <c r="BS568" t="s">
        <v>728</v>
      </c>
    </row>
    <row r="569" spans="1:71" x14ac:dyDescent="0.25">
      <c r="A569" t="s">
        <v>729</v>
      </c>
      <c r="B569" t="s">
        <v>139</v>
      </c>
      <c r="C569" s="2">
        <f>HYPERLINK("https://szao.dolgi.msk.ru/account/3470153523/", 3470153523)</f>
        <v>3470153523</v>
      </c>
      <c r="D569" t="s">
        <v>29</v>
      </c>
      <c r="E569">
        <v>31233.18</v>
      </c>
      <c r="AX569">
        <v>3</v>
      </c>
      <c r="AY569">
        <v>3.03</v>
      </c>
      <c r="AZ569" t="s">
        <v>30</v>
      </c>
      <c r="BA569" t="s">
        <v>49</v>
      </c>
      <c r="BB569">
        <v>31233.18</v>
      </c>
      <c r="BC569">
        <v>31233.18</v>
      </c>
      <c r="BD569">
        <v>31233.18</v>
      </c>
      <c r="BE569">
        <v>31233.18</v>
      </c>
      <c r="BF569">
        <v>20942.12</v>
      </c>
      <c r="BG569">
        <v>3733.71</v>
      </c>
      <c r="BH569">
        <v>4792.0200000000004</v>
      </c>
      <c r="BI569">
        <v>9067.98</v>
      </c>
      <c r="BJ569">
        <v>2553.75</v>
      </c>
      <c r="BK569">
        <v>4826.07</v>
      </c>
      <c r="BL569">
        <v>5304.54</v>
      </c>
      <c r="BM569">
        <v>955.11</v>
      </c>
      <c r="BP569" s="3">
        <v>45667</v>
      </c>
      <c r="BQ569">
        <v>19882.52</v>
      </c>
      <c r="BR569" s="3">
        <v>44510</v>
      </c>
      <c r="BS569" t="s">
        <v>730</v>
      </c>
    </row>
    <row r="570" spans="1:71" x14ac:dyDescent="0.25">
      <c r="A570" t="s">
        <v>729</v>
      </c>
      <c r="B570" t="s">
        <v>311</v>
      </c>
      <c r="C570" s="2">
        <f>HYPERLINK("https://szao.dolgi.msk.ru/account/3470152993/", 3470152993)</f>
        <v>3470152993</v>
      </c>
      <c r="D570" t="s">
        <v>29</v>
      </c>
      <c r="E570">
        <v>17374.82</v>
      </c>
      <c r="AX570">
        <v>2.68</v>
      </c>
      <c r="AY570">
        <v>2.68</v>
      </c>
      <c r="AZ570" t="s">
        <v>35</v>
      </c>
      <c r="BA570" t="s">
        <v>31</v>
      </c>
      <c r="BB570">
        <v>17374.82</v>
      </c>
      <c r="BC570">
        <v>17374.82</v>
      </c>
      <c r="BD570">
        <v>17374.82</v>
      </c>
      <c r="BE570">
        <v>17374.82</v>
      </c>
      <c r="BF570">
        <v>10882.97</v>
      </c>
      <c r="BG570">
        <v>3544.08</v>
      </c>
      <c r="BH570">
        <v>972.13</v>
      </c>
      <c r="BI570">
        <v>4133.6000000000004</v>
      </c>
      <c r="BJ570">
        <v>1164.1300000000001</v>
      </c>
      <c r="BK570">
        <v>1640.05</v>
      </c>
      <c r="BL570">
        <v>5017.42</v>
      </c>
      <c r="BM570">
        <v>903.41</v>
      </c>
      <c r="BN570">
        <v>5427.23</v>
      </c>
      <c r="BP570" s="3">
        <v>45671</v>
      </c>
      <c r="BQ570">
        <v>5427.23</v>
      </c>
      <c r="BR570" s="3">
        <v>45502</v>
      </c>
      <c r="BS570" t="s">
        <v>731</v>
      </c>
    </row>
    <row r="571" spans="1:71" x14ac:dyDescent="0.25">
      <c r="A571" t="s">
        <v>729</v>
      </c>
      <c r="B571" t="s">
        <v>602</v>
      </c>
      <c r="C571" s="2">
        <f>HYPERLINK("https://szao.dolgi.msk.ru/account/3470153072/", 3470153072)</f>
        <v>3470153072</v>
      </c>
      <c r="D571" t="s">
        <v>29</v>
      </c>
      <c r="E571">
        <v>23665.11</v>
      </c>
      <c r="AX571">
        <v>2.17</v>
      </c>
      <c r="AY571">
        <v>2.08</v>
      </c>
      <c r="AZ571" t="s">
        <v>40</v>
      </c>
      <c r="BA571" t="s">
        <v>31</v>
      </c>
      <c r="BB571">
        <v>23665.11</v>
      </c>
      <c r="BC571">
        <v>23665.11</v>
      </c>
      <c r="BD571">
        <v>23665.11</v>
      </c>
      <c r="BE571">
        <v>23665.11</v>
      </c>
      <c r="BF571">
        <v>34134.449999999997</v>
      </c>
      <c r="BG571">
        <v>4577.8599999999997</v>
      </c>
      <c r="BH571">
        <v>2377.7199999999998</v>
      </c>
      <c r="BI571">
        <v>6271.05</v>
      </c>
      <c r="BJ571">
        <v>1762.98</v>
      </c>
      <c r="BK571">
        <v>3071.25</v>
      </c>
      <c r="BL571">
        <v>4401.88</v>
      </c>
      <c r="BM571">
        <v>1202.3699999999999</v>
      </c>
      <c r="BN571">
        <v>21852.7</v>
      </c>
      <c r="BP571" s="3">
        <v>45694</v>
      </c>
      <c r="BQ571">
        <v>21852.7</v>
      </c>
      <c r="BR571" s="3">
        <v>45594</v>
      </c>
      <c r="BS571" t="s">
        <v>732</v>
      </c>
    </row>
    <row r="572" spans="1:71" x14ac:dyDescent="0.25">
      <c r="A572" t="s">
        <v>729</v>
      </c>
      <c r="B572" t="s">
        <v>106</v>
      </c>
      <c r="C572" s="2">
        <f>HYPERLINK("https://szao.dolgi.msk.ru/account/3470153179/", 3470153179)</f>
        <v>3470153179</v>
      </c>
      <c r="D572" t="s">
        <v>29</v>
      </c>
      <c r="E572">
        <v>110840.36</v>
      </c>
      <c r="AX572">
        <v>19.89</v>
      </c>
      <c r="AY572">
        <v>19.39</v>
      </c>
      <c r="AZ572" t="s">
        <v>56</v>
      </c>
      <c r="BA572" t="s">
        <v>36</v>
      </c>
      <c r="BB572">
        <v>110840.36</v>
      </c>
      <c r="BC572">
        <v>110840.36</v>
      </c>
      <c r="BD572">
        <v>110840.36</v>
      </c>
      <c r="BE572">
        <v>110840.36</v>
      </c>
      <c r="BF572">
        <v>105416.61</v>
      </c>
      <c r="BG572">
        <v>27407.439999999999</v>
      </c>
      <c r="BH572">
        <v>7930.14</v>
      </c>
      <c r="BI572">
        <v>20234.09</v>
      </c>
      <c r="BJ572">
        <v>5459.58</v>
      </c>
      <c r="BK572">
        <v>10435.35</v>
      </c>
      <c r="BL572">
        <v>31338.45</v>
      </c>
      <c r="BM572">
        <v>8035.31</v>
      </c>
      <c r="BP572" s="3">
        <v>44901</v>
      </c>
      <c r="BQ572">
        <v>2382.9</v>
      </c>
      <c r="BR572" s="3">
        <v>45222</v>
      </c>
      <c r="BS572" t="s">
        <v>733</v>
      </c>
    </row>
    <row r="573" spans="1:71" x14ac:dyDescent="0.25">
      <c r="A573" t="s">
        <v>734</v>
      </c>
      <c r="B573" t="s">
        <v>165</v>
      </c>
      <c r="C573" s="2">
        <f>HYPERLINK("https://szao.dolgi.msk.ru/account/3470153603/", 3470153603)</f>
        <v>3470153603</v>
      </c>
      <c r="D573" t="s">
        <v>29</v>
      </c>
      <c r="E573">
        <v>37006.49</v>
      </c>
      <c r="AX573">
        <v>7.46</v>
      </c>
      <c r="AY573">
        <v>7.4</v>
      </c>
      <c r="AZ573" t="s">
        <v>45</v>
      </c>
      <c r="BA573" t="s">
        <v>66</v>
      </c>
      <c r="BB573">
        <v>37006.49</v>
      </c>
      <c r="BC573">
        <v>37006.49</v>
      </c>
      <c r="BD573">
        <v>37006.49</v>
      </c>
      <c r="BE573">
        <v>37006.49</v>
      </c>
      <c r="BF573">
        <v>32003.63</v>
      </c>
      <c r="BG573">
        <v>9330.35</v>
      </c>
      <c r="BH573">
        <v>3931.81</v>
      </c>
      <c r="BI573">
        <v>3794.59</v>
      </c>
      <c r="BJ573">
        <v>1051.08</v>
      </c>
      <c r="BK573">
        <v>3847.86</v>
      </c>
      <c r="BL573">
        <v>12517.34</v>
      </c>
      <c r="BM573">
        <v>2533.46</v>
      </c>
      <c r="BP573" s="3">
        <v>45440</v>
      </c>
      <c r="BQ573">
        <v>15788.85</v>
      </c>
    </row>
    <row r="574" spans="1:71" x14ac:dyDescent="0.25">
      <c r="A574" t="s">
        <v>734</v>
      </c>
      <c r="B574" t="s">
        <v>481</v>
      </c>
      <c r="C574" s="2">
        <f>HYPERLINK("https://szao.dolgi.msk.ru/account/3470153742/", 3470153742)</f>
        <v>3470153742</v>
      </c>
      <c r="D574" t="s">
        <v>29</v>
      </c>
      <c r="E574">
        <v>17410.509999999998</v>
      </c>
      <c r="AX574">
        <v>5.19</v>
      </c>
      <c r="AY574">
        <v>5.12</v>
      </c>
      <c r="AZ574" t="s">
        <v>30</v>
      </c>
      <c r="BA574" t="s">
        <v>49</v>
      </c>
      <c r="BB574">
        <v>17410.509999999998</v>
      </c>
      <c r="BC574">
        <v>17410.509999999998</v>
      </c>
      <c r="BD574">
        <v>17672.349999999999</v>
      </c>
      <c r="BE574">
        <v>17672.349999999999</v>
      </c>
      <c r="BF574">
        <v>14008.01</v>
      </c>
      <c r="BG574">
        <v>7150.38</v>
      </c>
      <c r="BH574">
        <v>-261.83999999999997</v>
      </c>
      <c r="BI574">
        <v>0</v>
      </c>
      <c r="BJ574">
        <v>0</v>
      </c>
      <c r="BK574">
        <v>0</v>
      </c>
      <c r="BL574">
        <v>8611.73</v>
      </c>
      <c r="BM574">
        <v>1910.24</v>
      </c>
      <c r="BN574">
        <v>9153.24</v>
      </c>
      <c r="BP574" s="3">
        <v>45673</v>
      </c>
      <c r="BQ574">
        <v>9153.24</v>
      </c>
    </row>
    <row r="575" spans="1:71" x14ac:dyDescent="0.25">
      <c r="A575" t="s">
        <v>734</v>
      </c>
      <c r="B575" t="s">
        <v>225</v>
      </c>
      <c r="C575" s="2">
        <f>HYPERLINK("https://szao.dolgi.msk.ru/account/3470153929/", 3470153929)</f>
        <v>3470153929</v>
      </c>
      <c r="D575" t="s">
        <v>29</v>
      </c>
      <c r="E575">
        <v>88702.97</v>
      </c>
      <c r="AX575">
        <v>17.66</v>
      </c>
      <c r="AY575">
        <v>17.559999999999999</v>
      </c>
      <c r="AZ575" t="s">
        <v>40</v>
      </c>
      <c r="BA575" t="s">
        <v>36</v>
      </c>
      <c r="BB575">
        <v>88702.97</v>
      </c>
      <c r="BC575">
        <v>88702.97</v>
      </c>
      <c r="BD575">
        <v>88702.97</v>
      </c>
      <c r="BE575">
        <v>88702.97</v>
      </c>
      <c r="BF575">
        <v>83651.509999999995</v>
      </c>
      <c r="BG575">
        <v>11694.63</v>
      </c>
      <c r="BH575">
        <v>9761.6200000000008</v>
      </c>
      <c r="BI575">
        <v>26887.09</v>
      </c>
      <c r="BJ575">
        <v>7294.16</v>
      </c>
      <c r="BK575">
        <v>14208.69</v>
      </c>
      <c r="BL575">
        <v>15619.67</v>
      </c>
      <c r="BM575">
        <v>3237.11</v>
      </c>
      <c r="BP575" s="3">
        <v>45643</v>
      </c>
      <c r="BQ575">
        <v>5774.59</v>
      </c>
      <c r="BR575" s="3">
        <v>45639</v>
      </c>
      <c r="BS575" t="s">
        <v>735</v>
      </c>
    </row>
    <row r="576" spans="1:71" x14ac:dyDescent="0.25">
      <c r="A576" t="s">
        <v>734</v>
      </c>
      <c r="B576" t="s">
        <v>284</v>
      </c>
      <c r="C576" s="2">
        <f>HYPERLINK("https://szao.dolgi.msk.ru/account/3470154171/", 3470154171)</f>
        <v>3470154171</v>
      </c>
      <c r="D576" t="s">
        <v>29</v>
      </c>
      <c r="E576">
        <v>11905.3</v>
      </c>
      <c r="AX576">
        <v>3.74</v>
      </c>
      <c r="AY576">
        <v>3.72</v>
      </c>
      <c r="AZ576" t="s">
        <v>30</v>
      </c>
      <c r="BA576" t="s">
        <v>49</v>
      </c>
      <c r="BB576">
        <v>11905.3</v>
      </c>
      <c r="BC576">
        <v>11905.3</v>
      </c>
      <c r="BD576">
        <v>11905.3</v>
      </c>
      <c r="BE576">
        <v>11905.3</v>
      </c>
      <c r="BF576">
        <v>8705.7099999999991</v>
      </c>
      <c r="BG576">
        <v>4592.82</v>
      </c>
      <c r="BH576">
        <v>536.53</v>
      </c>
      <c r="BI576">
        <v>620.72</v>
      </c>
      <c r="BJ576">
        <v>176.83</v>
      </c>
      <c r="BK576">
        <v>526.01</v>
      </c>
      <c r="BL576">
        <v>4251</v>
      </c>
      <c r="BM576">
        <v>1201.3900000000001</v>
      </c>
      <c r="BP576" s="3">
        <v>45650</v>
      </c>
      <c r="BQ576">
        <v>5738.26</v>
      </c>
    </row>
    <row r="577" spans="1:71" x14ac:dyDescent="0.25">
      <c r="A577" t="s">
        <v>734</v>
      </c>
      <c r="B577" t="s">
        <v>359</v>
      </c>
      <c r="C577" s="2">
        <f>HYPERLINK("https://szao.dolgi.msk.ru/account/3470154198/", 3470154198)</f>
        <v>3470154198</v>
      </c>
      <c r="D577" t="s">
        <v>29</v>
      </c>
      <c r="E577">
        <v>15382.22</v>
      </c>
      <c r="AX577">
        <v>3.09</v>
      </c>
      <c r="AY577">
        <v>3.1</v>
      </c>
      <c r="AZ577" t="s">
        <v>30</v>
      </c>
      <c r="BA577" t="s">
        <v>49</v>
      </c>
      <c r="BB577">
        <v>15382.22</v>
      </c>
      <c r="BC577">
        <v>15382.22</v>
      </c>
      <c r="BD577">
        <v>15382.22</v>
      </c>
      <c r="BE577">
        <v>15382.22</v>
      </c>
      <c r="BF577">
        <v>10419.290000000001</v>
      </c>
      <c r="BG577">
        <v>2572.3000000000002</v>
      </c>
      <c r="BH577">
        <v>1727.98</v>
      </c>
      <c r="BI577">
        <v>3878.61</v>
      </c>
      <c r="BJ577">
        <v>1092.3</v>
      </c>
      <c r="BK577">
        <v>2165.2199999999998</v>
      </c>
      <c r="BL577">
        <v>3287.79</v>
      </c>
      <c r="BM577">
        <v>658.02</v>
      </c>
      <c r="BP577" s="3">
        <v>45604</v>
      </c>
      <c r="BQ577">
        <v>4462.09</v>
      </c>
      <c r="BR577" s="3">
        <v>45502</v>
      </c>
      <c r="BS577" t="s">
        <v>736</v>
      </c>
    </row>
    <row r="578" spans="1:71" x14ac:dyDescent="0.25">
      <c r="A578" t="s">
        <v>737</v>
      </c>
      <c r="B578" t="s">
        <v>48</v>
      </c>
      <c r="C578" s="2">
        <f>HYPERLINK("https://szao.dolgi.msk.ru/account/3470155617/", 3470155617)</f>
        <v>3470155617</v>
      </c>
      <c r="D578" t="s">
        <v>29</v>
      </c>
      <c r="E578">
        <v>26254.14</v>
      </c>
      <c r="AX578">
        <v>3.32</v>
      </c>
      <c r="AY578">
        <v>3.24</v>
      </c>
      <c r="AZ578" t="s">
        <v>40</v>
      </c>
      <c r="BA578" t="s">
        <v>49</v>
      </c>
      <c r="BB578">
        <v>26254.14</v>
      </c>
      <c r="BC578">
        <v>26254.14</v>
      </c>
      <c r="BD578">
        <v>26254.14</v>
      </c>
      <c r="BE578">
        <v>26254.14</v>
      </c>
      <c r="BF578">
        <v>16623.8</v>
      </c>
      <c r="BG578">
        <v>5916.91</v>
      </c>
      <c r="BH578">
        <v>2866.55</v>
      </c>
      <c r="BI578">
        <v>6296.42</v>
      </c>
      <c r="BJ578">
        <v>1773.22</v>
      </c>
      <c r="BK578">
        <v>3617.36</v>
      </c>
      <c r="BL578">
        <v>4489.6400000000003</v>
      </c>
      <c r="BM578">
        <v>1294.04</v>
      </c>
      <c r="BP578" s="3">
        <v>45610</v>
      </c>
      <c r="BQ578">
        <v>5967.91</v>
      </c>
    </row>
    <row r="579" spans="1:71" x14ac:dyDescent="0.25">
      <c r="A579" t="s">
        <v>737</v>
      </c>
      <c r="B579" t="s">
        <v>52</v>
      </c>
      <c r="C579" s="2">
        <f>HYPERLINK("https://szao.dolgi.msk.ru/account/3470155887/", 3470155887)</f>
        <v>3470155887</v>
      </c>
      <c r="D579" t="s">
        <v>29</v>
      </c>
      <c r="E579">
        <v>5371.14</v>
      </c>
      <c r="AX579">
        <v>2.14</v>
      </c>
      <c r="AY579">
        <v>1.57</v>
      </c>
      <c r="AZ579" t="s">
        <v>40</v>
      </c>
      <c r="BA579" t="s">
        <v>31</v>
      </c>
      <c r="BB579">
        <v>5371.14</v>
      </c>
      <c r="BC579">
        <v>5371.14</v>
      </c>
      <c r="BD579">
        <v>5371.14</v>
      </c>
      <c r="BE579">
        <v>5371.14</v>
      </c>
      <c r="BF579">
        <v>1952.23</v>
      </c>
      <c r="BG579">
        <v>747.29</v>
      </c>
      <c r="BH579">
        <v>38.869999999999997</v>
      </c>
      <c r="BI579">
        <v>183.69</v>
      </c>
      <c r="BJ579">
        <v>49.83</v>
      </c>
      <c r="BK579">
        <v>68.099999999999994</v>
      </c>
      <c r="BL579">
        <v>3883.78</v>
      </c>
      <c r="BM579">
        <v>399.58</v>
      </c>
      <c r="BN579">
        <v>6526.94</v>
      </c>
      <c r="BP579" s="3">
        <v>45672</v>
      </c>
      <c r="BQ579">
        <v>6526.94</v>
      </c>
      <c r="BR579" s="3">
        <v>45532</v>
      </c>
      <c r="BS579" t="s">
        <v>738</v>
      </c>
    </row>
    <row r="580" spans="1:71" x14ac:dyDescent="0.25">
      <c r="A580" t="s">
        <v>737</v>
      </c>
      <c r="B580" t="s">
        <v>298</v>
      </c>
      <c r="C580" s="2">
        <f>HYPERLINK("https://szao.dolgi.msk.ru/account/3470156281/", 3470156281)</f>
        <v>3470156281</v>
      </c>
      <c r="D580" t="s">
        <v>29</v>
      </c>
      <c r="E580">
        <v>103649.74</v>
      </c>
      <c r="AX580">
        <v>15.57</v>
      </c>
      <c r="AY580">
        <v>9.84</v>
      </c>
      <c r="AZ580" t="s">
        <v>69</v>
      </c>
      <c r="BA580" t="s">
        <v>36</v>
      </c>
      <c r="BB580">
        <v>103649.74</v>
      </c>
      <c r="BC580">
        <v>103649.74</v>
      </c>
      <c r="BD580">
        <v>103649.74</v>
      </c>
      <c r="BE580">
        <v>103649.74</v>
      </c>
      <c r="BF580">
        <v>93120.37</v>
      </c>
      <c r="BG580">
        <v>20529.97</v>
      </c>
      <c r="BH580">
        <v>11429.07</v>
      </c>
      <c r="BI580">
        <v>29522.75</v>
      </c>
      <c r="BJ580">
        <v>8188.88</v>
      </c>
      <c r="BK580">
        <v>9630.7800000000007</v>
      </c>
      <c r="BL580">
        <v>20323.38</v>
      </c>
      <c r="BM580">
        <v>4024.91</v>
      </c>
      <c r="BP580" s="3">
        <v>45596</v>
      </c>
      <c r="BQ580">
        <v>0</v>
      </c>
      <c r="BR580" s="3">
        <v>45534</v>
      </c>
      <c r="BS580" t="s">
        <v>739</v>
      </c>
    </row>
    <row r="581" spans="1:71" x14ac:dyDescent="0.25">
      <c r="A581" t="s">
        <v>737</v>
      </c>
      <c r="B581" t="s">
        <v>476</v>
      </c>
      <c r="C581" s="2">
        <f>HYPERLINK("https://szao.dolgi.msk.ru/account/3470156441/", 3470156441)</f>
        <v>3470156441</v>
      </c>
      <c r="D581" t="s">
        <v>29</v>
      </c>
      <c r="E581">
        <v>44732</v>
      </c>
      <c r="AX581">
        <v>6.57</v>
      </c>
      <c r="AY581">
        <v>6.57</v>
      </c>
      <c r="AZ581" t="s">
        <v>69</v>
      </c>
      <c r="BA581" t="s">
        <v>66</v>
      </c>
      <c r="BB581">
        <v>44732</v>
      </c>
      <c r="BC581">
        <v>44732</v>
      </c>
      <c r="BD581">
        <v>44732</v>
      </c>
      <c r="BE581">
        <v>44732</v>
      </c>
      <c r="BF581">
        <v>37927.93</v>
      </c>
      <c r="BG581">
        <v>10080.209999999999</v>
      </c>
      <c r="BH581">
        <v>4706.91</v>
      </c>
      <c r="BI581">
        <v>9357.86</v>
      </c>
      <c r="BJ581">
        <v>2622.92</v>
      </c>
      <c r="BK581">
        <v>4903.71</v>
      </c>
      <c r="BL581">
        <v>10867.71</v>
      </c>
      <c r="BM581">
        <v>2192.6799999999998</v>
      </c>
      <c r="BP581" s="3">
        <v>45511</v>
      </c>
      <c r="BQ581">
        <v>14083.64</v>
      </c>
      <c r="BR581" s="3">
        <v>45138</v>
      </c>
      <c r="BS581" t="s">
        <v>740</v>
      </c>
    </row>
    <row r="582" spans="1:71" x14ac:dyDescent="0.25">
      <c r="A582" t="s">
        <v>737</v>
      </c>
      <c r="B582" t="s">
        <v>445</v>
      </c>
      <c r="C582" s="2">
        <f>HYPERLINK("https://szao.dolgi.msk.ru/account/3470156513/", 3470156513)</f>
        <v>3470156513</v>
      </c>
      <c r="D582" t="s">
        <v>29</v>
      </c>
      <c r="E582">
        <v>211585.4</v>
      </c>
      <c r="AX582">
        <v>39.76</v>
      </c>
      <c r="AY582">
        <v>38.24</v>
      </c>
      <c r="AZ582" t="s">
        <v>56</v>
      </c>
      <c r="BA582" t="s">
        <v>36</v>
      </c>
      <c r="BB582">
        <v>211585.4</v>
      </c>
      <c r="BC582">
        <v>211585.4</v>
      </c>
      <c r="BD582">
        <v>211585.4</v>
      </c>
      <c r="BE582">
        <v>211585.4</v>
      </c>
      <c r="BF582">
        <v>206319.25</v>
      </c>
      <c r="BG582">
        <v>70157.59</v>
      </c>
      <c r="BH582">
        <v>16364.67</v>
      </c>
      <c r="BI582">
        <v>26012.25</v>
      </c>
      <c r="BJ582">
        <v>6893.87</v>
      </c>
      <c r="BK582">
        <v>11487.11</v>
      </c>
      <c r="BL582">
        <v>68548.41</v>
      </c>
      <c r="BM582">
        <v>12121.5</v>
      </c>
      <c r="BP582" s="3">
        <v>43959</v>
      </c>
      <c r="BQ582">
        <v>4564.9799999999996</v>
      </c>
      <c r="BR582" s="3">
        <v>45449</v>
      </c>
      <c r="BS582" t="s">
        <v>741</v>
      </c>
    </row>
    <row r="583" spans="1:71" x14ac:dyDescent="0.25">
      <c r="A583" t="s">
        <v>737</v>
      </c>
      <c r="B583" t="s">
        <v>366</v>
      </c>
      <c r="C583" s="2">
        <f>HYPERLINK("https://szao.dolgi.msk.ru/account/3470156521/", 3470156521)</f>
        <v>3470156521</v>
      </c>
      <c r="D583" t="s">
        <v>29</v>
      </c>
      <c r="E583">
        <v>45313.26</v>
      </c>
      <c r="AX583">
        <v>6.4</v>
      </c>
      <c r="AY583">
        <v>6.42</v>
      </c>
      <c r="AZ583" t="s">
        <v>69</v>
      </c>
      <c r="BA583" t="s">
        <v>66</v>
      </c>
      <c r="BB583">
        <v>45313.26</v>
      </c>
      <c r="BC583">
        <v>45313.26</v>
      </c>
      <c r="BD583">
        <v>45313.26</v>
      </c>
      <c r="BE583">
        <v>45313.26</v>
      </c>
      <c r="BF583">
        <v>38259.18</v>
      </c>
      <c r="BG583">
        <v>12983.85</v>
      </c>
      <c r="BH583">
        <v>5321.82</v>
      </c>
      <c r="BI583">
        <v>10436.17</v>
      </c>
      <c r="BJ583">
        <v>2916.22</v>
      </c>
      <c r="BK583">
        <v>5526.38</v>
      </c>
      <c r="BL583">
        <v>6999.16</v>
      </c>
      <c r="BM583">
        <v>1129.6600000000001</v>
      </c>
      <c r="BP583" s="3">
        <v>45511</v>
      </c>
      <c r="BQ583">
        <v>10855.4</v>
      </c>
      <c r="BR583" s="3">
        <v>45533</v>
      </c>
      <c r="BS583" t="s">
        <v>742</v>
      </c>
    </row>
    <row r="584" spans="1:71" x14ac:dyDescent="0.25">
      <c r="A584" t="s">
        <v>737</v>
      </c>
      <c r="B584" t="s">
        <v>743</v>
      </c>
      <c r="C584" s="2">
        <f>HYPERLINK("https://szao.dolgi.msk.ru/account/3470154569/", 3470154569)</f>
        <v>3470154569</v>
      </c>
      <c r="D584" t="s">
        <v>29</v>
      </c>
      <c r="E584">
        <v>64244.83</v>
      </c>
      <c r="AX584">
        <v>10.25</v>
      </c>
      <c r="AY584">
        <v>10.68</v>
      </c>
      <c r="AZ584" t="s">
        <v>45</v>
      </c>
      <c r="BA584" t="s">
        <v>63</v>
      </c>
      <c r="BB584">
        <v>64244.83</v>
      </c>
      <c r="BC584">
        <v>64244.83</v>
      </c>
      <c r="BD584">
        <v>64244.83</v>
      </c>
      <c r="BE584">
        <v>64244.83</v>
      </c>
      <c r="BF584">
        <v>58228.52</v>
      </c>
      <c r="BG584">
        <v>13643.22</v>
      </c>
      <c r="BH584">
        <v>6544.98</v>
      </c>
      <c r="BI584">
        <v>16504.7</v>
      </c>
      <c r="BJ584">
        <v>4485.92</v>
      </c>
      <c r="BK584">
        <v>8606.09</v>
      </c>
      <c r="BL584">
        <v>11489.53</v>
      </c>
      <c r="BM584">
        <v>2970.39</v>
      </c>
      <c r="BP584" s="3">
        <v>45496</v>
      </c>
      <c r="BQ584">
        <v>9100.08</v>
      </c>
      <c r="BR584" s="3">
        <v>44797</v>
      </c>
      <c r="BS584" t="s">
        <v>744</v>
      </c>
    </row>
    <row r="585" spans="1:71" x14ac:dyDescent="0.25">
      <c r="A585" t="s">
        <v>737</v>
      </c>
      <c r="B585" t="s">
        <v>745</v>
      </c>
      <c r="C585" s="2">
        <f>HYPERLINK("https://szao.dolgi.msk.ru/account/3470155414/", 3470155414)</f>
        <v>3470155414</v>
      </c>
      <c r="D585" t="s">
        <v>29</v>
      </c>
      <c r="E585">
        <v>100656.41</v>
      </c>
      <c r="AX585">
        <v>7.1</v>
      </c>
      <c r="AY585">
        <v>4.0199999999999996</v>
      </c>
      <c r="AZ585" t="s">
        <v>56</v>
      </c>
      <c r="BA585" t="s">
        <v>66</v>
      </c>
      <c r="BB585">
        <v>100656.41</v>
      </c>
      <c r="BC585">
        <v>100656.41</v>
      </c>
      <c r="BD585">
        <v>199254.94</v>
      </c>
      <c r="BE585">
        <v>199254.94</v>
      </c>
      <c r="BF585">
        <v>75614.3</v>
      </c>
      <c r="BG585">
        <v>-3317.48</v>
      </c>
      <c r="BH585">
        <v>-95281.05</v>
      </c>
      <c r="BI585">
        <v>109578.67</v>
      </c>
      <c r="BJ585">
        <v>1267.74</v>
      </c>
      <c r="BK585">
        <v>45151.23</v>
      </c>
      <c r="BL585">
        <v>34561.269999999997</v>
      </c>
      <c r="BM585">
        <v>8696.0300000000007</v>
      </c>
      <c r="BP585" s="3">
        <v>45267</v>
      </c>
      <c r="BQ585">
        <v>0</v>
      </c>
      <c r="BR585" s="3">
        <v>44510</v>
      </c>
      <c r="BS585" t="s">
        <v>746</v>
      </c>
    </row>
    <row r="586" spans="1:71" x14ac:dyDescent="0.25">
      <c r="A586" t="s">
        <v>747</v>
      </c>
      <c r="B586" t="s">
        <v>48</v>
      </c>
      <c r="C586" s="2">
        <f>HYPERLINK("https://szao.dolgi.msk.ru/account/3470156804/", 3470156804)</f>
        <v>3470156804</v>
      </c>
      <c r="D586" t="s">
        <v>29</v>
      </c>
      <c r="E586">
        <v>79393.33</v>
      </c>
      <c r="AX586">
        <v>11.82</v>
      </c>
      <c r="AY586">
        <v>13.66</v>
      </c>
      <c r="AZ586" t="s">
        <v>45</v>
      </c>
      <c r="BA586" t="s">
        <v>63</v>
      </c>
      <c r="BB586">
        <v>79393.33</v>
      </c>
      <c r="BC586">
        <v>79393.33</v>
      </c>
      <c r="BD586">
        <v>79393.33</v>
      </c>
      <c r="BE586">
        <v>79393.33</v>
      </c>
      <c r="BF586">
        <v>73581.850000000006</v>
      </c>
      <c r="BG586">
        <v>9852.57</v>
      </c>
      <c r="BH586">
        <v>10291.43</v>
      </c>
      <c r="BI586">
        <v>23953.01</v>
      </c>
      <c r="BJ586">
        <v>6459.55</v>
      </c>
      <c r="BK586">
        <v>13044.35</v>
      </c>
      <c r="BL586">
        <v>13429.01</v>
      </c>
      <c r="BM586">
        <v>2363.41</v>
      </c>
      <c r="BP586" s="3">
        <v>45344</v>
      </c>
      <c r="BQ586">
        <v>1847.25</v>
      </c>
      <c r="BR586" s="3">
        <v>45534</v>
      </c>
      <c r="BS586" t="s">
        <v>748</v>
      </c>
    </row>
    <row r="587" spans="1:71" x14ac:dyDescent="0.25">
      <c r="A587" t="s">
        <v>747</v>
      </c>
      <c r="B587" t="s">
        <v>245</v>
      </c>
      <c r="C587" s="2">
        <f>HYPERLINK("https://szao.dolgi.msk.ru/account/3470156978/", 3470156978)</f>
        <v>3470156978</v>
      </c>
      <c r="D587" t="s">
        <v>29</v>
      </c>
      <c r="E587">
        <v>35695.83</v>
      </c>
      <c r="AX587">
        <v>10.64</v>
      </c>
      <c r="AY587">
        <v>9.44</v>
      </c>
      <c r="AZ587" t="s">
        <v>45</v>
      </c>
      <c r="BA587" t="s">
        <v>63</v>
      </c>
      <c r="BB587">
        <v>35695.83</v>
      </c>
      <c r="BC587">
        <v>35695.83</v>
      </c>
      <c r="BD587">
        <v>35695.83</v>
      </c>
      <c r="BE587">
        <v>35695.83</v>
      </c>
      <c r="BF587">
        <v>56539.43</v>
      </c>
      <c r="BG587">
        <v>12951.73</v>
      </c>
      <c r="BH587">
        <v>195.23</v>
      </c>
      <c r="BI587">
        <v>1057.26</v>
      </c>
      <c r="BJ587">
        <v>280.11</v>
      </c>
      <c r="BK587">
        <v>373.05</v>
      </c>
      <c r="BL587">
        <v>17711.240000000002</v>
      </c>
      <c r="BM587">
        <v>3127.21</v>
      </c>
      <c r="BP587" s="3">
        <v>45379</v>
      </c>
      <c r="BQ587">
        <v>2701.45</v>
      </c>
      <c r="BR587" s="3">
        <v>45654</v>
      </c>
      <c r="BS587" t="s">
        <v>749</v>
      </c>
    </row>
    <row r="588" spans="1:71" x14ac:dyDescent="0.25">
      <c r="A588" t="s">
        <v>747</v>
      </c>
      <c r="B588" t="s">
        <v>284</v>
      </c>
      <c r="C588" s="2">
        <f>HYPERLINK("https://szao.dolgi.msk.ru/account/3470157145/", 3470157145)</f>
        <v>3470157145</v>
      </c>
      <c r="D588" t="s">
        <v>29</v>
      </c>
      <c r="E588">
        <v>31940.49</v>
      </c>
      <c r="AX588">
        <v>12.84</v>
      </c>
      <c r="AY588">
        <v>13.04</v>
      </c>
      <c r="AZ588" t="s">
        <v>45</v>
      </c>
      <c r="BA588" t="s">
        <v>36</v>
      </c>
      <c r="BB588">
        <v>31940.49</v>
      </c>
      <c r="BC588">
        <v>31940.49</v>
      </c>
      <c r="BD588">
        <v>31940.49</v>
      </c>
      <c r="BE588">
        <v>31940.49</v>
      </c>
      <c r="BF588">
        <v>29490.89</v>
      </c>
      <c r="BG588">
        <v>4919.84</v>
      </c>
      <c r="BH588">
        <v>3782.52</v>
      </c>
      <c r="BI588">
        <v>8371.83</v>
      </c>
      <c r="BJ588">
        <v>2274.73</v>
      </c>
      <c r="BK588">
        <v>4702.87</v>
      </c>
      <c r="BL588">
        <v>6698.44</v>
      </c>
      <c r="BM588">
        <v>1190.26</v>
      </c>
      <c r="BP588" s="3">
        <v>45363</v>
      </c>
      <c r="BQ588">
        <v>3757.7</v>
      </c>
      <c r="BR588" s="3">
        <v>45594</v>
      </c>
      <c r="BS588" t="s">
        <v>750</v>
      </c>
    </row>
    <row r="589" spans="1:71" x14ac:dyDescent="0.25">
      <c r="A589" t="s">
        <v>751</v>
      </c>
      <c r="B589" t="s">
        <v>752</v>
      </c>
      <c r="C589" s="2">
        <f>HYPERLINK("https://szao.dolgi.msk.ru/account/3470157719/", 3470157719)</f>
        <v>3470157719</v>
      </c>
      <c r="D589" t="s">
        <v>29</v>
      </c>
      <c r="E589">
        <v>226039.61</v>
      </c>
      <c r="AX589">
        <v>28.71</v>
      </c>
      <c r="AY589">
        <v>28.21</v>
      </c>
      <c r="AZ589" t="s">
        <v>56</v>
      </c>
      <c r="BA589" t="s">
        <v>36</v>
      </c>
      <c r="BB589">
        <v>226039.61</v>
      </c>
      <c r="BC589">
        <v>226039.61</v>
      </c>
      <c r="BD589">
        <v>226039.61</v>
      </c>
      <c r="BE589">
        <v>226039.61</v>
      </c>
      <c r="BF589">
        <v>218026.98</v>
      </c>
      <c r="BG589">
        <v>38479.14</v>
      </c>
      <c r="BH589">
        <v>22502.799999999999</v>
      </c>
      <c r="BI589">
        <v>54143.68</v>
      </c>
      <c r="BJ589">
        <v>14456.4</v>
      </c>
      <c r="BK589">
        <v>28457.51</v>
      </c>
      <c r="BL589">
        <v>56934.31</v>
      </c>
      <c r="BM589">
        <v>11065.77</v>
      </c>
      <c r="BP589" s="3">
        <v>44956</v>
      </c>
      <c r="BQ589">
        <v>4087.64</v>
      </c>
      <c r="BR589" s="3">
        <v>45432</v>
      </c>
      <c r="BS589" t="s">
        <v>753</v>
      </c>
    </row>
    <row r="590" spans="1:71" x14ac:dyDescent="0.25">
      <c r="A590" t="s">
        <v>751</v>
      </c>
      <c r="B590" t="s">
        <v>636</v>
      </c>
      <c r="C590" s="2">
        <f>HYPERLINK("https://szao.dolgi.msk.ru/account/3470157807/", 3470157807)</f>
        <v>3470157807</v>
      </c>
      <c r="D590" t="s">
        <v>29</v>
      </c>
      <c r="E590">
        <v>103256.78</v>
      </c>
      <c r="AX590">
        <v>53.17</v>
      </c>
      <c r="AY590">
        <v>27.92</v>
      </c>
      <c r="AZ590" t="s">
        <v>40</v>
      </c>
      <c r="BA590" t="s">
        <v>36</v>
      </c>
      <c r="BB590">
        <v>103256.78</v>
      </c>
      <c r="BC590">
        <v>103256.78</v>
      </c>
      <c r="BD590">
        <v>110941.19</v>
      </c>
      <c r="BE590">
        <v>110941.19</v>
      </c>
      <c r="BF590">
        <v>99558.33</v>
      </c>
      <c r="BG590">
        <v>22175.4</v>
      </c>
      <c r="BH590">
        <v>0</v>
      </c>
      <c r="BI590">
        <v>47394.66</v>
      </c>
      <c r="BJ590">
        <v>13235.43</v>
      </c>
      <c r="BK590">
        <v>-7684.41</v>
      </c>
      <c r="BL590">
        <v>24121.99</v>
      </c>
      <c r="BM590">
        <v>4013.71</v>
      </c>
      <c r="BO590">
        <v>3625.99</v>
      </c>
      <c r="BP590" s="3">
        <v>45680</v>
      </c>
      <c r="BQ590">
        <v>3625.99</v>
      </c>
      <c r="BR590" s="3">
        <v>45572</v>
      </c>
      <c r="BS590" t="s">
        <v>754</v>
      </c>
    </row>
    <row r="591" spans="1:71" x14ac:dyDescent="0.25">
      <c r="A591" t="s">
        <v>751</v>
      </c>
      <c r="B591" t="s">
        <v>755</v>
      </c>
      <c r="C591" s="2">
        <f>HYPERLINK("https://szao.dolgi.msk.ru/account/3470157903/", 3470157903)</f>
        <v>3470157903</v>
      </c>
      <c r="D591" t="s">
        <v>29</v>
      </c>
      <c r="E591">
        <v>16594.919999999998</v>
      </c>
      <c r="AX591">
        <v>2.85</v>
      </c>
      <c r="AY591">
        <v>2.88</v>
      </c>
      <c r="AZ591" t="s">
        <v>40</v>
      </c>
      <c r="BA591" t="s">
        <v>31</v>
      </c>
      <c r="BB591">
        <v>16594.919999999998</v>
      </c>
      <c r="BC591">
        <v>16594.919999999998</v>
      </c>
      <c r="BD591">
        <v>16594.919999999998</v>
      </c>
      <c r="BE591">
        <v>16594.919999999998</v>
      </c>
      <c r="BF591">
        <v>10832.76</v>
      </c>
      <c r="BG591">
        <v>3690.69</v>
      </c>
      <c r="BH591">
        <v>1244.1300000000001</v>
      </c>
      <c r="BI591">
        <v>3022.65</v>
      </c>
      <c r="BJ591">
        <v>851.25</v>
      </c>
      <c r="BK591">
        <v>1608.69</v>
      </c>
      <c r="BL591">
        <v>5233.41</v>
      </c>
      <c r="BM591">
        <v>944.1</v>
      </c>
      <c r="BP591" s="3">
        <v>45610</v>
      </c>
      <c r="BQ591">
        <v>5416.38</v>
      </c>
    </row>
    <row r="592" spans="1:71" x14ac:dyDescent="0.25">
      <c r="A592" t="s">
        <v>751</v>
      </c>
      <c r="B592" t="s">
        <v>339</v>
      </c>
      <c r="C592" s="2">
        <f>HYPERLINK("https://szao.dolgi.msk.ru/account/3470157241/", 3470157241)</f>
        <v>3470157241</v>
      </c>
      <c r="D592" t="s">
        <v>29</v>
      </c>
      <c r="E592">
        <v>5759.5</v>
      </c>
      <c r="AX592">
        <v>2.0499999999999998</v>
      </c>
      <c r="AY592">
        <v>1.34</v>
      </c>
      <c r="AZ592" t="s">
        <v>35</v>
      </c>
      <c r="BA592" t="s">
        <v>31</v>
      </c>
      <c r="BB592">
        <v>5759.5</v>
      </c>
      <c r="BC592">
        <v>5759.5</v>
      </c>
      <c r="BD592">
        <v>5759.5</v>
      </c>
      <c r="BE592">
        <v>5759.5</v>
      </c>
      <c r="BF592">
        <v>1449.85</v>
      </c>
      <c r="BG592">
        <v>3148.95</v>
      </c>
      <c r="BH592">
        <v>859.09</v>
      </c>
      <c r="BI592">
        <v>583.30999999999995</v>
      </c>
      <c r="BJ592">
        <v>143.61000000000001</v>
      </c>
      <c r="BK592">
        <v>504.51</v>
      </c>
      <c r="BL592">
        <v>520.03</v>
      </c>
      <c r="BM592">
        <v>0</v>
      </c>
      <c r="BO592">
        <v>4309.6499999999996</v>
      </c>
      <c r="BP592" s="3">
        <v>45672</v>
      </c>
      <c r="BQ592">
        <v>4309.6499999999996</v>
      </c>
    </row>
    <row r="593" spans="1:71" x14ac:dyDescent="0.25">
      <c r="A593" t="s">
        <v>751</v>
      </c>
      <c r="B593" t="s">
        <v>756</v>
      </c>
      <c r="C593" s="2">
        <f>HYPERLINK("https://szao.dolgi.msk.ru/account/3470157444/", 3470157444)</f>
        <v>3470157444</v>
      </c>
      <c r="D593" t="s">
        <v>29</v>
      </c>
      <c r="E593">
        <v>44353.81</v>
      </c>
      <c r="AX593">
        <v>8.6</v>
      </c>
      <c r="AY593">
        <v>9.81</v>
      </c>
      <c r="AZ593" t="s">
        <v>69</v>
      </c>
      <c r="BA593" t="s">
        <v>66</v>
      </c>
      <c r="BB593">
        <v>44353.81</v>
      </c>
      <c r="BC593">
        <v>44353.81</v>
      </c>
      <c r="BD593">
        <v>44353.81</v>
      </c>
      <c r="BE593">
        <v>44353.81</v>
      </c>
      <c r="BF593">
        <v>48801.5</v>
      </c>
      <c r="BG593">
        <v>6724</v>
      </c>
      <c r="BH593">
        <v>4775.8900000000003</v>
      </c>
      <c r="BI593">
        <v>11603.11</v>
      </c>
      <c r="BJ593">
        <v>3267.7</v>
      </c>
      <c r="BK593">
        <v>6175.29</v>
      </c>
      <c r="BL593">
        <v>10003.26</v>
      </c>
      <c r="BM593">
        <v>1804.56</v>
      </c>
      <c r="BP593" s="3">
        <v>45548</v>
      </c>
      <c r="BQ593">
        <v>35341.769999999997</v>
      </c>
      <c r="BR593" s="3">
        <v>45533</v>
      </c>
      <c r="BS593" t="s">
        <v>757</v>
      </c>
    </row>
    <row r="594" spans="1:71" x14ac:dyDescent="0.25">
      <c r="A594" t="s">
        <v>758</v>
      </c>
      <c r="B594" t="s">
        <v>759</v>
      </c>
      <c r="C594" s="2">
        <f>HYPERLINK("https://szao.dolgi.msk.ru/account/3470158172/", 3470158172)</f>
        <v>3470158172</v>
      </c>
      <c r="D594" t="s">
        <v>29</v>
      </c>
      <c r="E594">
        <v>9861.6200000000008</v>
      </c>
      <c r="AX594">
        <v>2.14</v>
      </c>
      <c r="AY594">
        <v>2.2000000000000002</v>
      </c>
      <c r="AZ594" t="s">
        <v>40</v>
      </c>
      <c r="BA594" t="s">
        <v>31</v>
      </c>
      <c r="BB594">
        <v>9861.6200000000008</v>
      </c>
      <c r="BC594">
        <v>9861.6200000000008</v>
      </c>
      <c r="BD594">
        <v>9861.6200000000008</v>
      </c>
      <c r="BE594">
        <v>9861.6200000000008</v>
      </c>
      <c r="BF594">
        <v>5375.29</v>
      </c>
      <c r="BG594">
        <v>2587.73</v>
      </c>
      <c r="BH594">
        <v>797.34</v>
      </c>
      <c r="BI594">
        <v>2477.3000000000002</v>
      </c>
      <c r="BJ594">
        <v>697.66</v>
      </c>
      <c r="BK594">
        <v>1147.75</v>
      </c>
      <c r="BL594">
        <v>1837.66</v>
      </c>
      <c r="BM594">
        <v>316.18</v>
      </c>
      <c r="BP594" s="3">
        <v>45639</v>
      </c>
      <c r="BQ594">
        <v>4898.21</v>
      </c>
    </row>
    <row r="595" spans="1:71" x14ac:dyDescent="0.25">
      <c r="A595" t="s">
        <v>758</v>
      </c>
      <c r="B595" t="s">
        <v>478</v>
      </c>
      <c r="C595" s="2">
        <f>HYPERLINK("https://szao.dolgi.msk.ru/account/3470158199/", 3470158199)</f>
        <v>3470158199</v>
      </c>
      <c r="D595" t="s">
        <v>29</v>
      </c>
      <c r="E595">
        <v>15899.56</v>
      </c>
      <c r="AX595">
        <v>4.32</v>
      </c>
      <c r="AY595">
        <v>4.1399999999999997</v>
      </c>
      <c r="AZ595" t="s">
        <v>69</v>
      </c>
      <c r="BA595" t="s">
        <v>49</v>
      </c>
      <c r="BB595">
        <v>15899.56</v>
      </c>
      <c r="BC595">
        <v>15899.56</v>
      </c>
      <c r="BD595">
        <v>15899.56</v>
      </c>
      <c r="BE595">
        <v>15899.56</v>
      </c>
      <c r="BF595">
        <v>12056.91</v>
      </c>
      <c r="BG595">
        <v>5872.96</v>
      </c>
      <c r="BH595">
        <v>292.11</v>
      </c>
      <c r="BI595">
        <v>226.01</v>
      </c>
      <c r="BJ595">
        <v>63.66</v>
      </c>
      <c r="BK595">
        <v>273.12</v>
      </c>
      <c r="BL595">
        <v>7580.92</v>
      </c>
      <c r="BM595">
        <v>1590.78</v>
      </c>
      <c r="BP595" s="3">
        <v>45559</v>
      </c>
      <c r="BQ595">
        <v>3486.31</v>
      </c>
    </row>
    <row r="596" spans="1:71" x14ac:dyDescent="0.25">
      <c r="A596" t="s">
        <v>758</v>
      </c>
      <c r="B596" t="s">
        <v>760</v>
      </c>
      <c r="C596" s="2">
        <f>HYPERLINK("https://szao.dolgi.msk.ru/account/3470158308/", 3470158308)</f>
        <v>3470158308</v>
      </c>
      <c r="D596" t="s">
        <v>29</v>
      </c>
      <c r="E596">
        <v>121521.21</v>
      </c>
      <c r="AX596">
        <v>42.03</v>
      </c>
      <c r="AY596">
        <v>33.56</v>
      </c>
      <c r="AZ596" t="s">
        <v>56</v>
      </c>
      <c r="BA596" t="s">
        <v>36</v>
      </c>
      <c r="BB596">
        <v>121521.21</v>
      </c>
      <c r="BC596">
        <v>121521.21</v>
      </c>
      <c r="BD596">
        <v>139854.5</v>
      </c>
      <c r="BE596">
        <v>139854.5</v>
      </c>
      <c r="BF596">
        <v>117899.82</v>
      </c>
      <c r="BG596">
        <v>51258.44</v>
      </c>
      <c r="BH596">
        <v>0</v>
      </c>
      <c r="BI596">
        <v>0</v>
      </c>
      <c r="BJ596">
        <v>-10.71</v>
      </c>
      <c r="BK596">
        <v>-18322.580000000002</v>
      </c>
      <c r="BL596">
        <v>76960.42</v>
      </c>
      <c r="BM596">
        <v>11635.64</v>
      </c>
      <c r="BP596" s="3">
        <v>44336</v>
      </c>
      <c r="BQ596">
        <v>39955.199999999997</v>
      </c>
      <c r="BR596" s="3">
        <v>45169</v>
      </c>
      <c r="BS596" t="s">
        <v>61</v>
      </c>
    </row>
    <row r="597" spans="1:71" x14ac:dyDescent="0.25">
      <c r="A597" t="s">
        <v>758</v>
      </c>
      <c r="B597" t="s">
        <v>761</v>
      </c>
      <c r="C597" s="2">
        <f>HYPERLINK("https://szao.dolgi.msk.ru/account/3470158367/", 3470158367)</f>
        <v>3470158367</v>
      </c>
      <c r="D597" t="s">
        <v>29</v>
      </c>
      <c r="E597">
        <v>60649.54</v>
      </c>
      <c r="AX597">
        <v>8.0299999999999994</v>
      </c>
      <c r="AY597">
        <v>7.48</v>
      </c>
      <c r="AZ597" t="s">
        <v>40</v>
      </c>
      <c r="BA597" t="s">
        <v>66</v>
      </c>
      <c r="BB597">
        <v>60649.54</v>
      </c>
      <c r="BC597">
        <v>60649.54</v>
      </c>
      <c r="BD597">
        <v>60649.54</v>
      </c>
      <c r="BE597">
        <v>60649.54</v>
      </c>
      <c r="BF597">
        <v>80824.56</v>
      </c>
      <c r="BG597">
        <v>11678.23</v>
      </c>
      <c r="BH597">
        <v>3138.51</v>
      </c>
      <c r="BI597">
        <v>16918.11</v>
      </c>
      <c r="BJ597">
        <v>3274.38</v>
      </c>
      <c r="BK597">
        <v>5954.06</v>
      </c>
      <c r="BL597">
        <v>16181.82</v>
      </c>
      <c r="BM597">
        <v>3504.43</v>
      </c>
      <c r="BN597">
        <v>28280.91</v>
      </c>
      <c r="BP597" s="3">
        <v>45696</v>
      </c>
      <c r="BQ597">
        <v>28280.91</v>
      </c>
      <c r="BR597" s="3">
        <v>45594</v>
      </c>
      <c r="BS597" t="s">
        <v>762</v>
      </c>
    </row>
    <row r="598" spans="1:71" x14ac:dyDescent="0.25">
      <c r="A598" t="s">
        <v>758</v>
      </c>
      <c r="B598" t="s">
        <v>453</v>
      </c>
      <c r="C598" s="2">
        <f>HYPERLINK("https://szao.dolgi.msk.ru/account/3470158439/", 3470158439)</f>
        <v>3470158439</v>
      </c>
      <c r="D598" t="s">
        <v>29</v>
      </c>
      <c r="E598">
        <v>30415.77</v>
      </c>
      <c r="AX598">
        <v>2.91</v>
      </c>
      <c r="AY598">
        <v>2.93</v>
      </c>
      <c r="AZ598" t="s">
        <v>30</v>
      </c>
      <c r="BA598" t="s">
        <v>31</v>
      </c>
      <c r="BB598">
        <v>30415.77</v>
      </c>
      <c r="BC598">
        <v>30415.77</v>
      </c>
      <c r="BD598">
        <v>30415.77</v>
      </c>
      <c r="BE598">
        <v>30415.77</v>
      </c>
      <c r="BF598">
        <v>20042.439999999999</v>
      </c>
      <c r="BG598">
        <v>3733.71</v>
      </c>
      <c r="BH598">
        <v>3732.42</v>
      </c>
      <c r="BI598">
        <v>9064.89</v>
      </c>
      <c r="BJ598">
        <v>2552.88</v>
      </c>
      <c r="BK598">
        <v>4825.41</v>
      </c>
      <c r="BL598">
        <v>5551.35</v>
      </c>
      <c r="BM598">
        <v>955.11</v>
      </c>
      <c r="BP598" s="3">
        <v>45643</v>
      </c>
      <c r="BQ598">
        <v>10023.530000000001</v>
      </c>
    </row>
    <row r="599" spans="1:71" x14ac:dyDescent="0.25">
      <c r="A599" t="s">
        <v>758</v>
      </c>
      <c r="B599" t="s">
        <v>763</v>
      </c>
      <c r="C599" s="2">
        <f>HYPERLINK("https://szao.dolgi.msk.ru/account/3470158551/", 3470158551)</f>
        <v>3470158551</v>
      </c>
      <c r="D599" t="s">
        <v>29</v>
      </c>
      <c r="E599">
        <v>271029.81</v>
      </c>
      <c r="AX599">
        <v>29.46</v>
      </c>
      <c r="AY599">
        <v>26.46</v>
      </c>
      <c r="AZ599" t="s">
        <v>40</v>
      </c>
      <c r="BA599" t="s">
        <v>36</v>
      </c>
      <c r="BB599">
        <v>271029.81</v>
      </c>
      <c r="BC599">
        <v>271029.81</v>
      </c>
      <c r="BD599">
        <v>273583.59999999998</v>
      </c>
      <c r="BE599">
        <v>273583.59999999998</v>
      </c>
      <c r="BF599">
        <v>287935.86</v>
      </c>
      <c r="BG599">
        <v>-1665.64</v>
      </c>
      <c r="BH599">
        <v>6892.26</v>
      </c>
      <c r="BI599">
        <v>140584.68</v>
      </c>
      <c r="BJ599">
        <v>37453.93</v>
      </c>
      <c r="BK599">
        <v>47340.88</v>
      </c>
      <c r="BL599">
        <v>41311.85</v>
      </c>
      <c r="BM599">
        <v>-888.15</v>
      </c>
      <c r="BN599">
        <v>27766.639999999999</v>
      </c>
      <c r="BO599">
        <v>1938.95</v>
      </c>
      <c r="BP599" s="3">
        <v>45690</v>
      </c>
      <c r="BQ599">
        <v>26391.75</v>
      </c>
      <c r="BR599" s="3">
        <v>45478</v>
      </c>
      <c r="BS599" t="s">
        <v>764</v>
      </c>
    </row>
    <row r="600" spans="1:71" x14ac:dyDescent="0.25">
      <c r="A600" t="s">
        <v>765</v>
      </c>
      <c r="B600" t="s">
        <v>766</v>
      </c>
      <c r="C600" s="2">
        <f>HYPERLINK("https://szao.dolgi.msk.ru/account/3470158682/", 3470158682)</f>
        <v>3470158682</v>
      </c>
      <c r="D600" t="s">
        <v>29</v>
      </c>
      <c r="E600">
        <v>77894.95</v>
      </c>
      <c r="AX600">
        <v>2.97</v>
      </c>
      <c r="AY600">
        <v>2.98</v>
      </c>
      <c r="AZ600" t="s">
        <v>30</v>
      </c>
      <c r="BA600" t="s">
        <v>31</v>
      </c>
      <c r="BB600">
        <v>77894.95</v>
      </c>
      <c r="BC600">
        <v>77894.95</v>
      </c>
      <c r="BD600">
        <v>77894.95</v>
      </c>
      <c r="BE600">
        <v>77894.95</v>
      </c>
      <c r="BF600">
        <v>51719.03</v>
      </c>
      <c r="BG600">
        <v>2589.5100000000002</v>
      </c>
      <c r="BH600">
        <v>26043.42</v>
      </c>
      <c r="BI600">
        <v>18135.96</v>
      </c>
      <c r="BJ600">
        <v>5107.53</v>
      </c>
      <c r="BK600">
        <v>23915.38</v>
      </c>
      <c r="BL600">
        <v>1771.92</v>
      </c>
      <c r="BM600">
        <v>331.23</v>
      </c>
      <c r="BP600" s="3">
        <v>45622</v>
      </c>
      <c r="BQ600">
        <v>38482.83</v>
      </c>
      <c r="BR600" s="3">
        <v>45687</v>
      </c>
      <c r="BS600" t="s">
        <v>767</v>
      </c>
    </row>
    <row r="601" spans="1:71" x14ac:dyDescent="0.25">
      <c r="A601" t="s">
        <v>765</v>
      </c>
      <c r="B601" t="s">
        <v>768</v>
      </c>
      <c r="C601" s="2">
        <f>HYPERLINK("https://szao.dolgi.msk.ru/account/3470159298/", 3470159298)</f>
        <v>3470159298</v>
      </c>
      <c r="D601" t="s">
        <v>29</v>
      </c>
      <c r="E601">
        <v>20293.349999999999</v>
      </c>
      <c r="AX601">
        <v>3.8</v>
      </c>
      <c r="AY601">
        <v>3.62</v>
      </c>
      <c r="AZ601" t="s">
        <v>69</v>
      </c>
      <c r="BA601" t="s">
        <v>49</v>
      </c>
      <c r="BB601">
        <v>20293.349999999999</v>
      </c>
      <c r="BC601">
        <v>20293.349999999999</v>
      </c>
      <c r="BD601">
        <v>20293.349999999999</v>
      </c>
      <c r="BE601">
        <v>20293.349999999999</v>
      </c>
      <c r="BF601">
        <v>14679.88</v>
      </c>
      <c r="BG601">
        <v>2536.0300000000002</v>
      </c>
      <c r="BH601">
        <v>3202.79</v>
      </c>
      <c r="BI601">
        <v>4825.2299999999996</v>
      </c>
      <c r="BJ601">
        <v>1369.9</v>
      </c>
      <c r="BK601">
        <v>3208.21</v>
      </c>
      <c r="BL601">
        <v>4349.4799999999996</v>
      </c>
      <c r="BM601">
        <v>801.71</v>
      </c>
      <c r="BN601">
        <v>3002.09</v>
      </c>
      <c r="BP601" s="3">
        <v>45672</v>
      </c>
      <c r="BQ601">
        <v>3002.09</v>
      </c>
    </row>
    <row r="602" spans="1:71" x14ac:dyDescent="0.25">
      <c r="A602" t="s">
        <v>765</v>
      </c>
      <c r="B602" t="s">
        <v>769</v>
      </c>
      <c r="C602" s="2">
        <f>HYPERLINK("https://szao.dolgi.msk.ru/account/3470159327/", 3470159327)</f>
        <v>3470159327</v>
      </c>
      <c r="D602" t="s">
        <v>29</v>
      </c>
      <c r="E602">
        <v>7994.01</v>
      </c>
      <c r="AX602">
        <v>2.16</v>
      </c>
      <c r="AY602">
        <v>2.14</v>
      </c>
      <c r="AZ602" t="s">
        <v>35</v>
      </c>
      <c r="BA602" t="s">
        <v>31</v>
      </c>
      <c r="BB602">
        <v>7994.01</v>
      </c>
      <c r="BC602">
        <v>7994.01</v>
      </c>
      <c r="BD602">
        <v>7994.01</v>
      </c>
      <c r="BE602">
        <v>7994.01</v>
      </c>
      <c r="BF602">
        <v>4263.4799999999996</v>
      </c>
      <c r="BG602">
        <v>2087.9</v>
      </c>
      <c r="BH602">
        <v>457.33</v>
      </c>
      <c r="BI602">
        <v>1199.21</v>
      </c>
      <c r="BJ602">
        <v>337.73</v>
      </c>
      <c r="BK602">
        <v>610.38</v>
      </c>
      <c r="BL602">
        <v>2781.53</v>
      </c>
      <c r="BM602">
        <v>519.92999999999995</v>
      </c>
      <c r="BN602">
        <v>6960.51</v>
      </c>
      <c r="BP602" s="3">
        <v>45687</v>
      </c>
      <c r="BQ602">
        <v>6960.51</v>
      </c>
    </row>
    <row r="603" spans="1:71" x14ac:dyDescent="0.25">
      <c r="A603" t="s">
        <v>770</v>
      </c>
      <c r="B603" t="s">
        <v>771</v>
      </c>
      <c r="C603" s="2">
        <f>HYPERLINK("https://szao.dolgi.msk.ru/account/3470610317/", 3470610317)</f>
        <v>3470610317</v>
      </c>
      <c r="D603" t="s">
        <v>29</v>
      </c>
      <c r="E603">
        <v>7378.58</v>
      </c>
      <c r="AX603">
        <v>3.63</v>
      </c>
      <c r="AY603">
        <v>3.63</v>
      </c>
      <c r="AZ603" t="s">
        <v>45</v>
      </c>
      <c r="BA603" t="s">
        <v>49</v>
      </c>
      <c r="BB603">
        <v>7378.58</v>
      </c>
      <c r="BC603">
        <v>7378.58</v>
      </c>
      <c r="BD603">
        <v>7378.58</v>
      </c>
      <c r="BE603">
        <v>7378.58</v>
      </c>
      <c r="BF603">
        <v>5346.69</v>
      </c>
      <c r="BG603">
        <v>3474.32</v>
      </c>
      <c r="BH603">
        <v>0</v>
      </c>
      <c r="BI603">
        <v>0</v>
      </c>
      <c r="BJ603">
        <v>0</v>
      </c>
      <c r="BK603">
        <v>0</v>
      </c>
      <c r="BL603">
        <v>3230.54</v>
      </c>
      <c r="BM603">
        <v>673.72</v>
      </c>
    </row>
    <row r="604" spans="1:71" x14ac:dyDescent="0.25">
      <c r="A604" t="s">
        <v>772</v>
      </c>
      <c r="B604" t="s">
        <v>773</v>
      </c>
      <c r="C604" s="2">
        <f>HYPERLINK("https://szao.dolgi.msk.ru/account/3470547899/", 3470547899)</f>
        <v>3470547899</v>
      </c>
      <c r="D604" t="s">
        <v>29</v>
      </c>
      <c r="E604">
        <v>14381.33</v>
      </c>
      <c r="AX604">
        <v>3.25</v>
      </c>
      <c r="AY604">
        <v>4.13</v>
      </c>
      <c r="AZ604" t="s">
        <v>35</v>
      </c>
      <c r="BA604" t="s">
        <v>49</v>
      </c>
      <c r="BB604">
        <v>14381.33</v>
      </c>
      <c r="BC604">
        <v>14381.33</v>
      </c>
      <c r="BD604">
        <v>14381.33</v>
      </c>
      <c r="BE604">
        <v>14381.33</v>
      </c>
      <c r="BF604">
        <v>14381.33</v>
      </c>
      <c r="BG604">
        <v>5628.06</v>
      </c>
      <c r="BH604">
        <v>525.53</v>
      </c>
      <c r="BI604">
        <v>1716.35</v>
      </c>
      <c r="BJ604">
        <v>786.98</v>
      </c>
      <c r="BK604">
        <v>824.85</v>
      </c>
      <c r="BL604">
        <v>3728</v>
      </c>
      <c r="BM604">
        <v>1171.56</v>
      </c>
      <c r="BO604">
        <v>3486.18</v>
      </c>
      <c r="BP604" s="3">
        <v>45691</v>
      </c>
      <c r="BQ604">
        <v>3486.18</v>
      </c>
      <c r="BR604" s="3">
        <v>45533</v>
      </c>
      <c r="BS604" t="s">
        <v>774</v>
      </c>
    </row>
    <row r="605" spans="1:71" x14ac:dyDescent="0.25">
      <c r="A605" t="s">
        <v>772</v>
      </c>
      <c r="B605" t="s">
        <v>773</v>
      </c>
      <c r="C605" s="2">
        <f>HYPERLINK("https://szao.dolgi.msk.ru/account/3470572138/", 3470572138)</f>
        <v>3470572138</v>
      </c>
      <c r="D605" t="s">
        <v>29</v>
      </c>
      <c r="E605">
        <v>52143.03</v>
      </c>
      <c r="AX605">
        <v>11.52</v>
      </c>
      <c r="AY605">
        <v>11.93</v>
      </c>
      <c r="AZ605" t="s">
        <v>40</v>
      </c>
      <c r="BA605" t="s">
        <v>63</v>
      </c>
      <c r="BB605">
        <v>52143.03</v>
      </c>
      <c r="BC605">
        <v>52143.03</v>
      </c>
      <c r="BD605">
        <v>52143.03</v>
      </c>
      <c r="BE605">
        <v>52143.03</v>
      </c>
      <c r="BF605">
        <v>47773.35</v>
      </c>
      <c r="BG605">
        <v>14291.14</v>
      </c>
      <c r="BH605">
        <v>4196.05</v>
      </c>
      <c r="BI605">
        <v>9236.5400000000009</v>
      </c>
      <c r="BJ605">
        <v>2445.92</v>
      </c>
      <c r="BK605">
        <v>4990.32</v>
      </c>
      <c r="BL605">
        <v>14451.92</v>
      </c>
      <c r="BM605">
        <v>2531.14</v>
      </c>
      <c r="BP605" s="3">
        <v>45609</v>
      </c>
      <c r="BQ605">
        <v>4105.38</v>
      </c>
      <c r="BR605" s="3">
        <v>45098</v>
      </c>
      <c r="BS605" t="s">
        <v>775</v>
      </c>
    </row>
    <row r="606" spans="1:71" x14ac:dyDescent="0.25">
      <c r="A606" t="s">
        <v>772</v>
      </c>
      <c r="B606" t="s">
        <v>773</v>
      </c>
      <c r="C606" s="2">
        <f>HYPERLINK("https://szao.dolgi.msk.ru/account/3470572146/", 3470572146)</f>
        <v>3470572146</v>
      </c>
      <c r="D606" t="s">
        <v>29</v>
      </c>
      <c r="E606">
        <v>126800.58</v>
      </c>
      <c r="AX606">
        <v>28.99</v>
      </c>
      <c r="AY606">
        <v>32.76</v>
      </c>
      <c r="AZ606" t="s">
        <v>69</v>
      </c>
      <c r="BA606" t="s">
        <v>36</v>
      </c>
      <c r="BB606">
        <v>126800.58</v>
      </c>
      <c r="BC606">
        <v>126800.58</v>
      </c>
      <c r="BD606">
        <v>126800.58</v>
      </c>
      <c r="BE606">
        <v>126800.58</v>
      </c>
      <c r="BF606">
        <v>122930.29</v>
      </c>
      <c r="BG606">
        <v>35622.959999999999</v>
      </c>
      <c r="BH606">
        <v>8666.9599999999991</v>
      </c>
      <c r="BI606">
        <v>22068.95</v>
      </c>
      <c r="BJ606">
        <v>5719.43</v>
      </c>
      <c r="BK606">
        <v>11118.59</v>
      </c>
      <c r="BL606">
        <v>36391.22</v>
      </c>
      <c r="BM606">
        <v>7212.47</v>
      </c>
      <c r="BN606">
        <v>9.5</v>
      </c>
      <c r="BP606" s="3">
        <v>45682</v>
      </c>
      <c r="BQ606">
        <v>9.5</v>
      </c>
      <c r="BR606" s="3">
        <v>45049</v>
      </c>
      <c r="BS606" t="s">
        <v>776</v>
      </c>
    </row>
    <row r="607" spans="1:71" x14ac:dyDescent="0.25">
      <c r="A607" t="s">
        <v>777</v>
      </c>
      <c r="B607" t="s">
        <v>352</v>
      </c>
      <c r="C607" s="2">
        <f>HYPERLINK("https://szao.dolgi.msk.ru/account/3470304483/", 3470304483)</f>
        <v>3470304483</v>
      </c>
      <c r="D607" t="s">
        <v>29</v>
      </c>
      <c r="E607">
        <v>23856.51</v>
      </c>
      <c r="AX607">
        <v>2.77</v>
      </c>
      <c r="AY607">
        <v>2.81</v>
      </c>
      <c r="AZ607" t="s">
        <v>40</v>
      </c>
      <c r="BA607" t="s">
        <v>31</v>
      </c>
      <c r="BB607">
        <v>23856.51</v>
      </c>
      <c r="BC607">
        <v>23856.51</v>
      </c>
      <c r="BD607">
        <v>23856.51</v>
      </c>
      <c r="BE607">
        <v>23856.51</v>
      </c>
      <c r="BF607">
        <v>23856.51</v>
      </c>
      <c r="BG607">
        <v>3838.41</v>
      </c>
      <c r="BH607">
        <v>1244.1300000000001</v>
      </c>
      <c r="BI607">
        <v>3022.65</v>
      </c>
      <c r="BJ607">
        <v>851.25</v>
      </c>
      <c r="BK607">
        <v>1608.69</v>
      </c>
      <c r="BL607">
        <v>11348.16</v>
      </c>
      <c r="BM607">
        <v>1943.22</v>
      </c>
      <c r="BO607">
        <v>8474.9</v>
      </c>
      <c r="BP607" s="3">
        <v>45695</v>
      </c>
      <c r="BQ607">
        <v>8474.9</v>
      </c>
      <c r="BR607" s="3">
        <v>45516</v>
      </c>
      <c r="BS607" t="s">
        <v>778</v>
      </c>
    </row>
    <row r="608" spans="1:71" x14ac:dyDescent="0.25">
      <c r="A608" t="s">
        <v>777</v>
      </c>
      <c r="B608" t="s">
        <v>108</v>
      </c>
      <c r="C608" s="2">
        <f>HYPERLINK("https://szao.dolgi.msk.ru/account/3470164142/", 3470164142)</f>
        <v>3470164142</v>
      </c>
      <c r="D608" t="s">
        <v>29</v>
      </c>
      <c r="E608">
        <v>7464.11</v>
      </c>
      <c r="AX608">
        <v>2.97</v>
      </c>
      <c r="AY608">
        <v>2.1</v>
      </c>
      <c r="AZ608" t="s">
        <v>40</v>
      </c>
      <c r="BA608" t="s">
        <v>31</v>
      </c>
      <c r="BB608">
        <v>7464.11</v>
      </c>
      <c r="BC608">
        <v>7464.11</v>
      </c>
      <c r="BD608">
        <v>15618</v>
      </c>
      <c r="BE608">
        <v>15618</v>
      </c>
      <c r="BF608">
        <v>3904.68</v>
      </c>
      <c r="BG608">
        <v>3480.27</v>
      </c>
      <c r="BH608">
        <v>35.65</v>
      </c>
      <c r="BI608">
        <v>-5555.69</v>
      </c>
      <c r="BJ608">
        <v>-1471.32</v>
      </c>
      <c r="BK608">
        <v>-1126.8800000000001</v>
      </c>
      <c r="BL608">
        <v>10261.19</v>
      </c>
      <c r="BM608">
        <v>1840.89</v>
      </c>
      <c r="BO608">
        <v>3550.43</v>
      </c>
      <c r="BP608" s="3">
        <v>45685</v>
      </c>
      <c r="BQ608">
        <v>3550.43</v>
      </c>
      <c r="BR608" s="3">
        <v>45624</v>
      </c>
      <c r="BS608" t="s">
        <v>779</v>
      </c>
    </row>
    <row r="609" spans="1:71" x14ac:dyDescent="0.25">
      <c r="A609" t="s">
        <v>780</v>
      </c>
      <c r="B609" t="s">
        <v>103</v>
      </c>
      <c r="C609" s="2">
        <f>HYPERLINK("https://szao.dolgi.msk.ru/account/3470164679/", 3470164679)</f>
        <v>3470164679</v>
      </c>
      <c r="D609" t="s">
        <v>29</v>
      </c>
      <c r="E609">
        <v>104573.83</v>
      </c>
      <c r="AX609">
        <v>10.42</v>
      </c>
      <c r="AY609">
        <v>10.39</v>
      </c>
      <c r="AZ609" t="s">
        <v>40</v>
      </c>
      <c r="BA609" t="s">
        <v>63</v>
      </c>
      <c r="BB609">
        <v>104573.83</v>
      </c>
      <c r="BC609">
        <v>104573.83</v>
      </c>
      <c r="BD609">
        <v>104573.83</v>
      </c>
      <c r="BE609">
        <v>104573.83</v>
      </c>
      <c r="BF609">
        <v>94510.9</v>
      </c>
      <c r="BG609">
        <v>16153.39</v>
      </c>
      <c r="BH609">
        <v>13019.55</v>
      </c>
      <c r="BI609">
        <v>31907.93</v>
      </c>
      <c r="BJ609">
        <v>8605</v>
      </c>
      <c r="BK609">
        <v>16861.419999999998</v>
      </c>
      <c r="BL609">
        <v>14667.42</v>
      </c>
      <c r="BM609">
        <v>3359.12</v>
      </c>
      <c r="BP609" s="3">
        <v>45624</v>
      </c>
      <c r="BQ609">
        <v>9646.2199999999993</v>
      </c>
      <c r="BR609" s="3">
        <v>44957</v>
      </c>
      <c r="BS609" t="s">
        <v>781</v>
      </c>
    </row>
    <row r="610" spans="1:71" x14ac:dyDescent="0.25">
      <c r="A610" t="s">
        <v>780</v>
      </c>
      <c r="B610" t="s">
        <v>313</v>
      </c>
      <c r="C610" s="2">
        <f>HYPERLINK("https://szao.dolgi.msk.ru/account/3470165022/", 3470165022)</f>
        <v>3470165022</v>
      </c>
      <c r="D610" t="s">
        <v>29</v>
      </c>
      <c r="E610">
        <v>7528.4</v>
      </c>
      <c r="AX610">
        <v>2.02</v>
      </c>
      <c r="AY610">
        <v>2.1</v>
      </c>
      <c r="AZ610" t="s">
        <v>40</v>
      </c>
      <c r="BA610" t="s">
        <v>31</v>
      </c>
      <c r="BB610">
        <v>7528.4</v>
      </c>
      <c r="BC610">
        <v>7528.4</v>
      </c>
      <c r="BD610">
        <v>7528.4</v>
      </c>
      <c r="BE610">
        <v>7528.4</v>
      </c>
      <c r="BF610">
        <v>3946.75</v>
      </c>
      <c r="BG610">
        <v>2995.82</v>
      </c>
      <c r="BH610">
        <v>273.74</v>
      </c>
      <c r="BI610">
        <v>1194.77</v>
      </c>
      <c r="BJ610">
        <v>316.51</v>
      </c>
      <c r="BK610">
        <v>458.61</v>
      </c>
      <c r="BL610">
        <v>1751.21</v>
      </c>
      <c r="BM610">
        <v>537.74</v>
      </c>
      <c r="BN610">
        <v>3962.26</v>
      </c>
      <c r="BP610" s="3">
        <v>45686</v>
      </c>
      <c r="BQ610">
        <v>3380.44</v>
      </c>
      <c r="BR610" s="3">
        <v>45513</v>
      </c>
      <c r="BS610" t="s">
        <v>782</v>
      </c>
    </row>
    <row r="611" spans="1:71" x14ac:dyDescent="0.25">
      <c r="A611" t="s">
        <v>780</v>
      </c>
      <c r="B611" t="s">
        <v>220</v>
      </c>
      <c r="C611" s="2">
        <f>HYPERLINK("https://szao.dolgi.msk.ru/account/3470165284/", 3470165284)</f>
        <v>3470165284</v>
      </c>
      <c r="D611" t="s">
        <v>29</v>
      </c>
      <c r="E611">
        <v>180345.1</v>
      </c>
      <c r="AX611">
        <v>19.190000000000001</v>
      </c>
      <c r="AY611">
        <v>18.03</v>
      </c>
      <c r="AZ611" t="s">
        <v>40</v>
      </c>
      <c r="BA611" t="s">
        <v>36</v>
      </c>
      <c r="BB611">
        <v>180345.1</v>
      </c>
      <c r="BC611">
        <v>180345.1</v>
      </c>
      <c r="BD611">
        <v>180345.1</v>
      </c>
      <c r="BE611">
        <v>180345.1</v>
      </c>
      <c r="BF611">
        <v>170344.61</v>
      </c>
      <c r="BG611">
        <v>42373.84</v>
      </c>
      <c r="BH611">
        <v>12126.89</v>
      </c>
      <c r="BI611">
        <v>50235.12</v>
      </c>
      <c r="BJ611">
        <v>10402.24</v>
      </c>
      <c r="BK611">
        <v>18970.59</v>
      </c>
      <c r="BL611">
        <v>36451.57</v>
      </c>
      <c r="BM611">
        <v>9784.85</v>
      </c>
      <c r="BN611">
        <v>10000</v>
      </c>
      <c r="BP611" s="3">
        <v>45684</v>
      </c>
      <c r="BQ611">
        <v>10000</v>
      </c>
      <c r="BR611" s="3">
        <v>45642</v>
      </c>
      <c r="BS611" t="s">
        <v>783</v>
      </c>
    </row>
    <row r="612" spans="1:71" x14ac:dyDescent="0.25">
      <c r="A612" t="s">
        <v>784</v>
      </c>
      <c r="B612" t="s">
        <v>785</v>
      </c>
      <c r="C612" s="2">
        <f>HYPERLINK("https://szao.dolgi.msk.ru/account/3470611651/", 3470611651)</f>
        <v>3470611651</v>
      </c>
      <c r="D612" t="s">
        <v>29</v>
      </c>
      <c r="E612">
        <v>769158.39</v>
      </c>
      <c r="AX612">
        <v>33.200000000000003</v>
      </c>
      <c r="AY612">
        <v>33.200000000000003</v>
      </c>
      <c r="AZ612" t="s">
        <v>69</v>
      </c>
      <c r="BA612" t="s">
        <v>36</v>
      </c>
      <c r="BB612">
        <v>769158.39</v>
      </c>
      <c r="BC612">
        <v>769158.39</v>
      </c>
      <c r="BD612">
        <v>769158.39</v>
      </c>
      <c r="BE612">
        <v>769158.39</v>
      </c>
      <c r="BF612">
        <v>745988.24</v>
      </c>
      <c r="BG612">
        <v>237636.71</v>
      </c>
      <c r="BH612">
        <v>0</v>
      </c>
      <c r="BI612">
        <v>0</v>
      </c>
      <c r="BJ612">
        <v>0</v>
      </c>
      <c r="BK612">
        <v>0</v>
      </c>
      <c r="BL612">
        <v>458603.26</v>
      </c>
      <c r="BM612">
        <v>72918.42</v>
      </c>
      <c r="BR612" s="3">
        <v>45692</v>
      </c>
      <c r="BS612" t="s">
        <v>786</v>
      </c>
    </row>
    <row r="613" spans="1:71" x14ac:dyDescent="0.25">
      <c r="A613" t="s">
        <v>784</v>
      </c>
      <c r="B613" t="s">
        <v>28</v>
      </c>
      <c r="C613" s="2">
        <f>HYPERLINK("https://szao.dolgi.msk.ru/account/3470165612/", 3470165612)</f>
        <v>3470165612</v>
      </c>
      <c r="D613" t="s">
        <v>29</v>
      </c>
      <c r="E613">
        <v>18333.96</v>
      </c>
      <c r="AX613">
        <v>4.91</v>
      </c>
      <c r="AY613">
        <v>5.03</v>
      </c>
      <c r="AZ613" t="s">
        <v>69</v>
      </c>
      <c r="BA613" t="s">
        <v>49</v>
      </c>
      <c r="BB613">
        <v>18333.96</v>
      </c>
      <c r="BC613">
        <v>18333.96</v>
      </c>
      <c r="BD613">
        <v>18333.96</v>
      </c>
      <c r="BE613">
        <v>18333.96</v>
      </c>
      <c r="BF613">
        <v>14692.41</v>
      </c>
      <c r="BG613">
        <v>4181.72</v>
      </c>
      <c r="BH613">
        <v>3450.32</v>
      </c>
      <c r="BI613">
        <v>0</v>
      </c>
      <c r="BJ613">
        <v>0</v>
      </c>
      <c r="BK613">
        <v>2263.35</v>
      </c>
      <c r="BL613">
        <v>7327.22</v>
      </c>
      <c r="BM613">
        <v>1111.3499999999999</v>
      </c>
      <c r="BP613" s="3">
        <v>45517</v>
      </c>
      <c r="BQ613">
        <v>9740.51</v>
      </c>
    </row>
    <row r="614" spans="1:71" x14ac:dyDescent="0.25">
      <c r="A614" t="s">
        <v>784</v>
      </c>
      <c r="B614" t="s">
        <v>173</v>
      </c>
      <c r="C614" s="2">
        <f>HYPERLINK("https://szao.dolgi.msk.ru/account/3470165663/", 3470165663)</f>
        <v>3470165663</v>
      </c>
      <c r="D614" t="s">
        <v>29</v>
      </c>
      <c r="E614">
        <v>24192.09</v>
      </c>
      <c r="AX614">
        <v>7.32</v>
      </c>
      <c r="AY614">
        <v>2.74</v>
      </c>
      <c r="AZ614" t="s">
        <v>35</v>
      </c>
      <c r="BA614" t="s">
        <v>66</v>
      </c>
      <c r="BB614">
        <v>24192.09</v>
      </c>
      <c r="BC614">
        <v>24192.09</v>
      </c>
      <c r="BD614">
        <v>24192.09</v>
      </c>
      <c r="BE614">
        <v>24192.09</v>
      </c>
      <c r="BF614">
        <v>15364.77</v>
      </c>
      <c r="BG614">
        <v>4780.41</v>
      </c>
      <c r="BH614">
        <v>8482.08</v>
      </c>
      <c r="BI614">
        <v>0</v>
      </c>
      <c r="BJ614">
        <v>0</v>
      </c>
      <c r="BK614">
        <v>5694.86</v>
      </c>
      <c r="BL614">
        <v>5014.67</v>
      </c>
      <c r="BM614">
        <v>220.07</v>
      </c>
      <c r="BN614">
        <v>9140.27</v>
      </c>
      <c r="BP614" s="3">
        <v>45682</v>
      </c>
      <c r="BQ614">
        <v>406</v>
      </c>
      <c r="BR614" s="3">
        <v>45110</v>
      </c>
      <c r="BS614" t="s">
        <v>787</v>
      </c>
    </row>
    <row r="615" spans="1:71" x14ac:dyDescent="0.25">
      <c r="A615" t="s">
        <v>788</v>
      </c>
      <c r="B615" t="s">
        <v>139</v>
      </c>
      <c r="C615" s="2">
        <f>HYPERLINK("https://szao.dolgi.msk.ru/account/3470167044/", 3470167044)</f>
        <v>3470167044</v>
      </c>
      <c r="D615" t="s">
        <v>29</v>
      </c>
      <c r="E615">
        <v>21911.78</v>
      </c>
      <c r="AX615">
        <v>2.74</v>
      </c>
      <c r="AY615">
        <v>2.74</v>
      </c>
      <c r="AZ615" t="s">
        <v>40</v>
      </c>
      <c r="BA615" t="s">
        <v>31</v>
      </c>
      <c r="BB615">
        <v>21911.78</v>
      </c>
      <c r="BC615">
        <v>21911.78</v>
      </c>
      <c r="BD615">
        <v>21911.78</v>
      </c>
      <c r="BE615">
        <v>21911.78</v>
      </c>
      <c r="BF615">
        <v>13913.75</v>
      </c>
      <c r="BG615">
        <v>1684.17</v>
      </c>
      <c r="BH615">
        <v>1120.6300000000001</v>
      </c>
      <c r="BI615">
        <v>8495.44</v>
      </c>
      <c r="BJ615">
        <v>2301.23</v>
      </c>
      <c r="BK615">
        <v>2664.21</v>
      </c>
      <c r="BL615">
        <v>4698.88</v>
      </c>
      <c r="BM615">
        <v>947.22</v>
      </c>
      <c r="BO615">
        <v>7998.03</v>
      </c>
      <c r="BP615" s="3">
        <v>45680</v>
      </c>
      <c r="BQ615">
        <v>7998.03</v>
      </c>
      <c r="BR615" s="3">
        <v>45509</v>
      </c>
      <c r="BS615" t="s">
        <v>789</v>
      </c>
    </row>
    <row r="616" spans="1:71" x14ac:dyDescent="0.25">
      <c r="A616" t="s">
        <v>788</v>
      </c>
      <c r="B616" t="s">
        <v>374</v>
      </c>
      <c r="C616" s="2">
        <f>HYPERLINK("https://szao.dolgi.msk.ru/account/3470166631/", 3470166631)</f>
        <v>3470166631</v>
      </c>
      <c r="D616" t="s">
        <v>29</v>
      </c>
      <c r="E616">
        <v>6531.63</v>
      </c>
      <c r="AX616">
        <v>7.34</v>
      </c>
      <c r="AY616">
        <v>1.86</v>
      </c>
      <c r="AZ616" t="s">
        <v>40</v>
      </c>
      <c r="BA616" t="s">
        <v>66</v>
      </c>
      <c r="BB616">
        <v>6531.63</v>
      </c>
      <c r="BC616">
        <v>6531.63</v>
      </c>
      <c r="BD616">
        <v>10220.379999999999</v>
      </c>
      <c r="BE616">
        <v>10220.379999999999</v>
      </c>
      <c r="BF616">
        <v>3018.46</v>
      </c>
      <c r="BG616">
        <v>2623.75</v>
      </c>
      <c r="BH616">
        <v>-2907.7</v>
      </c>
      <c r="BI616">
        <v>-142.47999999999999</v>
      </c>
      <c r="BJ616">
        <v>-638.57000000000005</v>
      </c>
      <c r="BK616">
        <v>3546.27</v>
      </c>
      <c r="BL616">
        <v>3409.22</v>
      </c>
      <c r="BM616">
        <v>641.14</v>
      </c>
      <c r="BP616" s="3">
        <v>45653</v>
      </c>
      <c r="BQ616">
        <v>3160.94</v>
      </c>
    </row>
    <row r="617" spans="1:71" x14ac:dyDescent="0.25">
      <c r="A617" t="s">
        <v>788</v>
      </c>
      <c r="B617" t="s">
        <v>238</v>
      </c>
      <c r="C617" s="2">
        <f>HYPERLINK("https://szao.dolgi.msk.ru/account/3470167036/", 3470167036)</f>
        <v>3470167036</v>
      </c>
      <c r="D617" t="s">
        <v>29</v>
      </c>
      <c r="E617">
        <v>8852.15</v>
      </c>
      <c r="AX617">
        <v>2.72</v>
      </c>
      <c r="AY617">
        <v>2.99</v>
      </c>
      <c r="AZ617" t="s">
        <v>35</v>
      </c>
      <c r="BA617" t="s">
        <v>31</v>
      </c>
      <c r="BB617">
        <v>8852.15</v>
      </c>
      <c r="BC617">
        <v>8852.15</v>
      </c>
      <c r="BD617">
        <v>8852.15</v>
      </c>
      <c r="BE617">
        <v>8852.15</v>
      </c>
      <c r="BF617">
        <v>5886.77</v>
      </c>
      <c r="BG617">
        <v>2344.3200000000002</v>
      </c>
      <c r="BH617">
        <v>897.67</v>
      </c>
      <c r="BI617">
        <v>3416.14</v>
      </c>
      <c r="BJ617">
        <v>886.95</v>
      </c>
      <c r="BK617">
        <v>1307.07</v>
      </c>
      <c r="BL617">
        <v>0</v>
      </c>
      <c r="BM617">
        <v>0</v>
      </c>
      <c r="BO617">
        <v>2965.38</v>
      </c>
      <c r="BP617" s="3">
        <v>45673</v>
      </c>
      <c r="BQ617">
        <v>2965.38</v>
      </c>
      <c r="BR617" s="3">
        <v>45534</v>
      </c>
      <c r="BS617" t="s">
        <v>790</v>
      </c>
    </row>
    <row r="618" spans="1:71" x14ac:dyDescent="0.25">
      <c r="A618" t="s">
        <v>791</v>
      </c>
      <c r="B618" t="s">
        <v>136</v>
      </c>
      <c r="C618" s="2">
        <f>HYPERLINK("https://szao.dolgi.msk.ru/account/3470167626/", 3470167626)</f>
        <v>3470167626</v>
      </c>
      <c r="D618" t="s">
        <v>29</v>
      </c>
      <c r="E618">
        <v>123133.41</v>
      </c>
      <c r="AX618">
        <v>17.7</v>
      </c>
      <c r="AY618">
        <v>19.43</v>
      </c>
      <c r="AZ618" t="s">
        <v>40</v>
      </c>
      <c r="BA618" t="s">
        <v>36</v>
      </c>
      <c r="BB618">
        <v>123133.41</v>
      </c>
      <c r="BC618">
        <v>123133.41</v>
      </c>
      <c r="BD618">
        <v>123133.41</v>
      </c>
      <c r="BE618">
        <v>123133.41</v>
      </c>
      <c r="BF618">
        <v>116797.3</v>
      </c>
      <c r="BG618">
        <v>14901.43</v>
      </c>
      <c r="BH618">
        <v>14889.05</v>
      </c>
      <c r="BI618">
        <v>35596.949999999997</v>
      </c>
      <c r="BJ618">
        <v>9636.98</v>
      </c>
      <c r="BK618">
        <v>19091.2</v>
      </c>
      <c r="BL618">
        <v>24891.24</v>
      </c>
      <c r="BM618">
        <v>4126.5600000000004</v>
      </c>
      <c r="BP618" s="3">
        <v>45642</v>
      </c>
      <c r="BQ618">
        <v>5965.81</v>
      </c>
      <c r="BR618" s="3">
        <v>45699</v>
      </c>
      <c r="BS618" t="s">
        <v>792</v>
      </c>
    </row>
    <row r="619" spans="1:71" x14ac:dyDescent="0.25">
      <c r="A619" t="s">
        <v>791</v>
      </c>
      <c r="B619" t="s">
        <v>98</v>
      </c>
      <c r="C619" s="2">
        <f>HYPERLINK("https://szao.dolgi.msk.ru/account/3470167124/", 3470167124)</f>
        <v>3470167124</v>
      </c>
      <c r="D619" t="s">
        <v>29</v>
      </c>
      <c r="E619">
        <v>135890.12</v>
      </c>
      <c r="AX619">
        <v>8.99</v>
      </c>
      <c r="AY619">
        <v>8.77</v>
      </c>
      <c r="AZ619" t="s">
        <v>30</v>
      </c>
      <c r="BA619" t="s">
        <v>66</v>
      </c>
      <c r="BB619">
        <v>138510.12</v>
      </c>
      <c r="BC619">
        <v>138510.12</v>
      </c>
      <c r="BD619">
        <v>135890.12</v>
      </c>
      <c r="BE619">
        <v>138510.12</v>
      </c>
      <c r="BF619">
        <v>123021.47</v>
      </c>
      <c r="BG619">
        <v>3824.31</v>
      </c>
      <c r="BH619">
        <v>23560.79</v>
      </c>
      <c r="BI619">
        <v>50299.64</v>
      </c>
      <c r="BJ619">
        <v>13813.25</v>
      </c>
      <c r="BK619">
        <v>26076.58</v>
      </c>
      <c r="BL619">
        <v>17523.080000000002</v>
      </c>
      <c r="BM619">
        <v>792.47</v>
      </c>
      <c r="BN619">
        <v>212.49</v>
      </c>
      <c r="BO619">
        <v>2620</v>
      </c>
      <c r="BP619" s="3">
        <v>45696</v>
      </c>
      <c r="BQ619">
        <v>2620</v>
      </c>
      <c r="BR619" s="3">
        <v>45635</v>
      </c>
      <c r="BS619" t="s">
        <v>793</v>
      </c>
    </row>
    <row r="620" spans="1:71" x14ac:dyDescent="0.25">
      <c r="A620" t="s">
        <v>791</v>
      </c>
      <c r="B620" t="s">
        <v>100</v>
      </c>
      <c r="C620" s="2">
        <f>HYPERLINK("https://szao.dolgi.msk.ru/account/3470167132/", 3470167132)</f>
        <v>3470167132</v>
      </c>
      <c r="D620" t="s">
        <v>29</v>
      </c>
      <c r="E620">
        <v>3171.36</v>
      </c>
      <c r="AX620">
        <v>4.24</v>
      </c>
      <c r="AY620">
        <v>1.19</v>
      </c>
      <c r="AZ620" t="s">
        <v>35</v>
      </c>
      <c r="BA620" t="s">
        <v>49</v>
      </c>
      <c r="BB620">
        <v>3171.36</v>
      </c>
      <c r="BC620">
        <v>3171.36</v>
      </c>
      <c r="BD620">
        <v>8253.7900000000009</v>
      </c>
      <c r="BE620">
        <v>8253.7900000000009</v>
      </c>
      <c r="BF620">
        <v>3171.36</v>
      </c>
      <c r="BG620">
        <v>562.32000000000005</v>
      </c>
      <c r="BH620">
        <v>-940.02</v>
      </c>
      <c r="BI620">
        <v>-2283.79</v>
      </c>
      <c r="BJ620">
        <v>-643.16999999999996</v>
      </c>
      <c r="BK620">
        <v>-1215.45</v>
      </c>
      <c r="BL620">
        <v>6240.17</v>
      </c>
      <c r="BM620">
        <v>1451.3</v>
      </c>
      <c r="BO620">
        <v>2667.92</v>
      </c>
      <c r="BP620" s="3">
        <v>45692</v>
      </c>
      <c r="BQ620">
        <v>2667.92</v>
      </c>
      <c r="BR620" s="3">
        <v>45673</v>
      </c>
      <c r="BS620" t="s">
        <v>794</v>
      </c>
    </row>
    <row r="621" spans="1:71" x14ac:dyDescent="0.25">
      <c r="A621" t="s">
        <v>791</v>
      </c>
      <c r="B621" t="s">
        <v>364</v>
      </c>
      <c r="C621" s="2">
        <f>HYPERLINK("https://szao.dolgi.msk.ru/account/3470167159/", 3470167159)</f>
        <v>3470167159</v>
      </c>
      <c r="D621" t="s">
        <v>29</v>
      </c>
      <c r="E621">
        <v>24710.86</v>
      </c>
      <c r="AX621">
        <v>3.52</v>
      </c>
      <c r="AY621">
        <v>3.71</v>
      </c>
      <c r="AZ621" t="s">
        <v>40</v>
      </c>
      <c r="BA621" t="s">
        <v>49</v>
      </c>
      <c r="BB621">
        <v>24710.86</v>
      </c>
      <c r="BC621">
        <v>24710.86</v>
      </c>
      <c r="BD621">
        <v>24710.86</v>
      </c>
      <c r="BE621">
        <v>24710.86</v>
      </c>
      <c r="BF621">
        <v>27244.86</v>
      </c>
      <c r="BG621">
        <v>1778.94</v>
      </c>
      <c r="BH621">
        <v>1264.48</v>
      </c>
      <c r="BI621">
        <v>9979.92</v>
      </c>
      <c r="BJ621">
        <v>2644.11</v>
      </c>
      <c r="BK621">
        <v>4507.95</v>
      </c>
      <c r="BL621">
        <v>4037.19</v>
      </c>
      <c r="BM621">
        <v>498.27</v>
      </c>
      <c r="BN621">
        <v>2534</v>
      </c>
      <c r="BO621">
        <v>6666.24</v>
      </c>
      <c r="BP621" s="3">
        <v>45692</v>
      </c>
      <c r="BQ621">
        <v>6666.24</v>
      </c>
      <c r="BR621" s="3">
        <v>45644</v>
      </c>
      <c r="BS621" t="s">
        <v>795</v>
      </c>
    </row>
    <row r="622" spans="1:71" x14ac:dyDescent="0.25">
      <c r="A622" t="s">
        <v>791</v>
      </c>
      <c r="B622" t="s">
        <v>296</v>
      </c>
      <c r="C622" s="2">
        <f>HYPERLINK("https://szao.dolgi.msk.ru/account/3470167204/", 3470167204)</f>
        <v>3470167204</v>
      </c>
      <c r="D622" t="s">
        <v>29</v>
      </c>
      <c r="E622">
        <v>202592.18</v>
      </c>
      <c r="AX622">
        <v>22.95</v>
      </c>
      <c r="AY622">
        <v>20.12</v>
      </c>
      <c r="AZ622" t="s">
        <v>69</v>
      </c>
      <c r="BA622" t="s">
        <v>36</v>
      </c>
      <c r="BB622">
        <v>202592.18</v>
      </c>
      <c r="BC622">
        <v>202592.18</v>
      </c>
      <c r="BD622">
        <v>202592.18</v>
      </c>
      <c r="BE622">
        <v>202592.18</v>
      </c>
      <c r="BF622">
        <v>192520.93</v>
      </c>
      <c r="BG622">
        <v>10663</v>
      </c>
      <c r="BH622">
        <v>67702.720000000001</v>
      </c>
      <c r="BI622">
        <v>35289.89</v>
      </c>
      <c r="BJ622">
        <v>8415.94</v>
      </c>
      <c r="BK622">
        <v>40735.81</v>
      </c>
      <c r="BL622">
        <v>34351.03</v>
      </c>
      <c r="BM622">
        <v>5433.79</v>
      </c>
      <c r="BP622" s="3">
        <v>45594</v>
      </c>
      <c r="BQ622">
        <v>3542</v>
      </c>
      <c r="BR622" s="3">
        <v>45699</v>
      </c>
      <c r="BS622" t="s">
        <v>796</v>
      </c>
    </row>
    <row r="623" spans="1:71" x14ac:dyDescent="0.25">
      <c r="A623" t="s">
        <v>791</v>
      </c>
      <c r="B623" t="s">
        <v>296</v>
      </c>
      <c r="C623" s="2">
        <f>HYPERLINK("https://szao.dolgi.msk.ru/account/3470529041/", 3470529041)</f>
        <v>3470529041</v>
      </c>
      <c r="D623" t="s">
        <v>29</v>
      </c>
      <c r="E623">
        <v>26132.86</v>
      </c>
      <c r="AX623">
        <v>25.44</v>
      </c>
      <c r="AY623">
        <v>20.75</v>
      </c>
      <c r="AZ623" t="s">
        <v>40</v>
      </c>
      <c r="BA623" t="s">
        <v>36</v>
      </c>
      <c r="BB623">
        <v>26132.86</v>
      </c>
      <c r="BC623">
        <v>26132.86</v>
      </c>
      <c r="BD623">
        <v>26132.86</v>
      </c>
      <c r="BE623">
        <v>26132.86</v>
      </c>
      <c r="BF623">
        <v>28316.81</v>
      </c>
      <c r="BG623">
        <v>8179.47</v>
      </c>
      <c r="BH623">
        <v>234.08</v>
      </c>
      <c r="BI623">
        <v>2162.9</v>
      </c>
      <c r="BJ623">
        <v>797.22</v>
      </c>
      <c r="BK623">
        <v>1029.1099999999999</v>
      </c>
      <c r="BL623">
        <v>11190.02</v>
      </c>
      <c r="BM623">
        <v>2540.06</v>
      </c>
      <c r="BN623">
        <v>3137.96</v>
      </c>
      <c r="BP623" s="3">
        <v>45693</v>
      </c>
      <c r="BQ623">
        <v>3137.96</v>
      </c>
    </row>
    <row r="624" spans="1:71" x14ac:dyDescent="0.25">
      <c r="A624" t="s">
        <v>791</v>
      </c>
      <c r="B624" t="s">
        <v>194</v>
      </c>
      <c r="C624" s="2">
        <f>HYPERLINK("https://szao.dolgi.msk.ru/account/3470167263/", 3470167263)</f>
        <v>3470167263</v>
      </c>
      <c r="D624" t="s">
        <v>29</v>
      </c>
      <c r="E624">
        <v>22498.67</v>
      </c>
      <c r="AX624">
        <v>2.11</v>
      </c>
      <c r="AY624">
        <v>1.96</v>
      </c>
      <c r="AZ624" t="s">
        <v>30</v>
      </c>
      <c r="BA624" t="s">
        <v>31</v>
      </c>
      <c r="BB624">
        <v>22498.67</v>
      </c>
      <c r="BC624">
        <v>22498.67</v>
      </c>
      <c r="BD624">
        <v>22498.67</v>
      </c>
      <c r="BE624">
        <v>22498.67</v>
      </c>
      <c r="BF624">
        <v>11030.91</v>
      </c>
      <c r="BG624">
        <v>3254.17</v>
      </c>
      <c r="BH624">
        <v>2488.2800000000002</v>
      </c>
      <c r="BI624">
        <v>6045.32</v>
      </c>
      <c r="BJ624">
        <v>1702.5</v>
      </c>
      <c r="BK624">
        <v>3217.38</v>
      </c>
      <c r="BL624">
        <v>4995.82</v>
      </c>
      <c r="BM624">
        <v>795.2</v>
      </c>
      <c r="BP624" s="3">
        <v>45667</v>
      </c>
      <c r="BQ624">
        <v>48575.54</v>
      </c>
      <c r="BR624" s="3">
        <v>44957</v>
      </c>
      <c r="BS624" t="s">
        <v>797</v>
      </c>
    </row>
    <row r="625" spans="1:71" x14ac:dyDescent="0.25">
      <c r="A625" t="s">
        <v>798</v>
      </c>
      <c r="B625" t="s">
        <v>374</v>
      </c>
      <c r="C625" s="2">
        <f>HYPERLINK("https://szao.dolgi.msk.ru/account/3470447361/", 3470447361)</f>
        <v>3470447361</v>
      </c>
      <c r="D625" t="s">
        <v>29</v>
      </c>
      <c r="E625">
        <v>65958.53</v>
      </c>
      <c r="AX625">
        <v>7.81</v>
      </c>
      <c r="AY625">
        <v>7.55</v>
      </c>
      <c r="AZ625" t="s">
        <v>40</v>
      </c>
      <c r="BA625" t="s">
        <v>66</v>
      </c>
      <c r="BB625">
        <v>65958.53</v>
      </c>
      <c r="BC625">
        <v>65958.53</v>
      </c>
      <c r="BD625">
        <v>65958.53</v>
      </c>
      <c r="BE625">
        <v>65958.53</v>
      </c>
      <c r="BF625">
        <v>57218.73</v>
      </c>
      <c r="BG625">
        <v>7225.6</v>
      </c>
      <c r="BH625">
        <v>7802.18</v>
      </c>
      <c r="BI625">
        <v>19387.7</v>
      </c>
      <c r="BJ625">
        <v>5338.32</v>
      </c>
      <c r="BK625">
        <v>5169.5600000000004</v>
      </c>
      <c r="BL625">
        <v>19488.55</v>
      </c>
      <c r="BM625">
        <v>1546.62</v>
      </c>
      <c r="BP625" s="3">
        <v>45647</v>
      </c>
      <c r="BQ625">
        <v>15551.25</v>
      </c>
      <c r="BR625" s="3">
        <v>45588</v>
      </c>
      <c r="BS625" t="s">
        <v>799</v>
      </c>
    </row>
    <row r="626" spans="1:71" x14ac:dyDescent="0.25">
      <c r="A626" t="s">
        <v>800</v>
      </c>
      <c r="B626" t="s">
        <v>550</v>
      </c>
      <c r="C626" s="2">
        <f>HYPERLINK("https://szao.dolgi.msk.ru/account/3470539696/", 3470539696)</f>
        <v>3470539696</v>
      </c>
      <c r="D626" t="s">
        <v>29</v>
      </c>
      <c r="E626">
        <v>144025.39000000001</v>
      </c>
      <c r="AX626">
        <v>13.78</v>
      </c>
      <c r="AY626">
        <v>12.73</v>
      </c>
      <c r="AZ626" t="s">
        <v>40</v>
      </c>
      <c r="BA626" t="s">
        <v>36</v>
      </c>
      <c r="BB626">
        <v>144025.39000000001</v>
      </c>
      <c r="BC626">
        <v>144025.39000000001</v>
      </c>
      <c r="BD626">
        <v>144025.39000000001</v>
      </c>
      <c r="BE626">
        <v>144025.39000000001</v>
      </c>
      <c r="BF626">
        <v>132708.72</v>
      </c>
      <c r="BG626">
        <v>24553.919999999998</v>
      </c>
      <c r="BH626">
        <v>13687.42</v>
      </c>
      <c r="BI626">
        <v>36938.32</v>
      </c>
      <c r="BJ626">
        <v>9945.58</v>
      </c>
      <c r="BK626">
        <v>17790.509999999998</v>
      </c>
      <c r="BL626">
        <v>39011.589999999997</v>
      </c>
      <c r="BM626">
        <v>2098.0500000000002</v>
      </c>
      <c r="BP626" s="3">
        <v>45647</v>
      </c>
      <c r="BQ626">
        <v>0</v>
      </c>
      <c r="BR626" s="3">
        <v>44964</v>
      </c>
      <c r="BS626" t="s">
        <v>801</v>
      </c>
    </row>
    <row r="627" spans="1:71" x14ac:dyDescent="0.25">
      <c r="A627" t="s">
        <v>800</v>
      </c>
      <c r="B627" t="s">
        <v>481</v>
      </c>
      <c r="C627" s="2">
        <f>HYPERLINK("https://szao.dolgi.msk.ru/account/3470170956/", 3470170956)</f>
        <v>3470170956</v>
      </c>
      <c r="D627" t="s">
        <v>29</v>
      </c>
      <c r="E627">
        <v>22286.63</v>
      </c>
      <c r="AX627">
        <v>2.0299999999999998</v>
      </c>
      <c r="AY627">
        <v>1.97</v>
      </c>
      <c r="AZ627" t="s">
        <v>30</v>
      </c>
      <c r="BA627" t="s">
        <v>31</v>
      </c>
      <c r="BB627">
        <v>22286.63</v>
      </c>
      <c r="BC627">
        <v>20984.68</v>
      </c>
      <c r="BD627">
        <v>22286.63</v>
      </c>
      <c r="BE627">
        <v>20984.68</v>
      </c>
      <c r="BF627">
        <v>10950.68</v>
      </c>
      <c r="BG627">
        <v>2869.91</v>
      </c>
      <c r="BH627">
        <v>2488.2800000000002</v>
      </c>
      <c r="BI627">
        <v>6045.32</v>
      </c>
      <c r="BJ627">
        <v>1702.5</v>
      </c>
      <c r="BK627">
        <v>3217.38</v>
      </c>
      <c r="BL627">
        <v>5261.94</v>
      </c>
      <c r="BM627">
        <v>701.3</v>
      </c>
      <c r="BP627" s="3">
        <v>45643</v>
      </c>
      <c r="BQ627">
        <v>43802.720000000001</v>
      </c>
    </row>
    <row r="628" spans="1:71" x14ac:dyDescent="0.25">
      <c r="A628" t="s">
        <v>800</v>
      </c>
      <c r="B628" t="s">
        <v>88</v>
      </c>
      <c r="C628" s="2">
        <f>HYPERLINK("https://szao.dolgi.msk.ru/account/3470171422/", 3470171422)</f>
        <v>3470171422</v>
      </c>
      <c r="D628" t="s">
        <v>29</v>
      </c>
      <c r="E628">
        <v>68346.509999999995</v>
      </c>
      <c r="AX628">
        <v>13.27</v>
      </c>
      <c r="AY628">
        <v>11.15</v>
      </c>
      <c r="AZ628" t="s">
        <v>40</v>
      </c>
      <c r="BA628" t="s">
        <v>36</v>
      </c>
      <c r="BB628">
        <v>68346.509999999995</v>
      </c>
      <c r="BC628">
        <v>68346.509999999995</v>
      </c>
      <c r="BD628">
        <v>68346.509999999995</v>
      </c>
      <c r="BE628">
        <v>68346.509999999995</v>
      </c>
      <c r="BF628">
        <v>62217.34</v>
      </c>
      <c r="BG628">
        <v>7494.79</v>
      </c>
      <c r="BH628">
        <v>8069.64</v>
      </c>
      <c r="BI628">
        <v>20138.38</v>
      </c>
      <c r="BJ628">
        <v>5488.89</v>
      </c>
      <c r="BK628">
        <v>10531.11</v>
      </c>
      <c r="BL628">
        <v>14615.94</v>
      </c>
      <c r="BM628">
        <v>2007.76</v>
      </c>
      <c r="BP628" s="3">
        <v>45666</v>
      </c>
      <c r="BQ628">
        <v>5097.12</v>
      </c>
      <c r="BR628" s="3">
        <v>45551</v>
      </c>
      <c r="BS628" t="s">
        <v>802</v>
      </c>
    </row>
    <row r="629" spans="1:71" x14ac:dyDescent="0.25">
      <c r="A629" t="s">
        <v>800</v>
      </c>
      <c r="B629" t="s">
        <v>238</v>
      </c>
      <c r="C629" s="2">
        <f>HYPERLINK("https://szao.dolgi.msk.ru/account/3470171473/", 3470171473)</f>
        <v>3470171473</v>
      </c>
      <c r="D629" t="s">
        <v>29</v>
      </c>
      <c r="E629">
        <v>8315.6200000000008</v>
      </c>
      <c r="AX629">
        <v>2.09</v>
      </c>
      <c r="AY629">
        <v>2.02</v>
      </c>
      <c r="AZ629" t="s">
        <v>40</v>
      </c>
      <c r="BA629" t="s">
        <v>31</v>
      </c>
      <c r="BB629">
        <v>8315.6200000000008</v>
      </c>
      <c r="BC629">
        <v>8315.6200000000008</v>
      </c>
      <c r="BD629">
        <v>8315.6200000000008</v>
      </c>
      <c r="BE629">
        <v>8315.6200000000008</v>
      </c>
      <c r="BF629">
        <v>4206.59</v>
      </c>
      <c r="BG629">
        <v>3703.85</v>
      </c>
      <c r="BH629">
        <v>505.75</v>
      </c>
      <c r="BI629">
        <v>1315.45</v>
      </c>
      <c r="BJ629">
        <v>356.92</v>
      </c>
      <c r="BK629">
        <v>671.08</v>
      </c>
      <c r="BL629">
        <v>1260.44</v>
      </c>
      <c r="BM629">
        <v>502.13</v>
      </c>
      <c r="BP629" s="3">
        <v>45645</v>
      </c>
      <c r="BQ629">
        <v>7492.19</v>
      </c>
      <c r="BR629" s="3">
        <v>45575</v>
      </c>
      <c r="BS629" t="s">
        <v>803</v>
      </c>
    </row>
    <row r="630" spans="1:71" x14ac:dyDescent="0.25">
      <c r="A630" t="s">
        <v>800</v>
      </c>
      <c r="B630" t="s">
        <v>129</v>
      </c>
      <c r="C630" s="2">
        <f>HYPERLINK("https://szao.dolgi.msk.ru/account/3470465885/", 3470465885)</f>
        <v>3470465885</v>
      </c>
      <c r="D630" t="s">
        <v>29</v>
      </c>
      <c r="E630">
        <v>1113.79</v>
      </c>
      <c r="AX630">
        <v>2.27</v>
      </c>
      <c r="AY630">
        <v>0.79</v>
      </c>
      <c r="AZ630" t="s">
        <v>30</v>
      </c>
      <c r="BA630" t="s">
        <v>31</v>
      </c>
      <c r="BB630">
        <v>1113.79</v>
      </c>
      <c r="BC630">
        <v>1113.79</v>
      </c>
      <c r="BD630">
        <v>1732.65</v>
      </c>
      <c r="BE630">
        <v>1732.65</v>
      </c>
      <c r="BF630">
        <v>-327.17</v>
      </c>
      <c r="BG630">
        <v>-176.28</v>
      </c>
      <c r="BH630">
        <v>-260.33</v>
      </c>
      <c r="BI630">
        <v>350.17</v>
      </c>
      <c r="BJ630">
        <v>113.84</v>
      </c>
      <c r="BK630">
        <v>-182.25</v>
      </c>
      <c r="BL630">
        <v>1100.5999999999999</v>
      </c>
      <c r="BM630">
        <v>168.04</v>
      </c>
      <c r="BP630" s="3">
        <v>45647</v>
      </c>
      <c r="BQ630">
        <v>5819.08</v>
      </c>
      <c r="BR630" s="3">
        <v>45635</v>
      </c>
      <c r="BS630" t="s">
        <v>804</v>
      </c>
    </row>
    <row r="631" spans="1:71" x14ac:dyDescent="0.25">
      <c r="A631" t="s">
        <v>805</v>
      </c>
      <c r="B631" t="s">
        <v>311</v>
      </c>
      <c r="C631" s="2">
        <f>HYPERLINK("https://szao.dolgi.msk.ru/account/3470418851/", 3470418851)</f>
        <v>3470418851</v>
      </c>
      <c r="D631" t="s">
        <v>29</v>
      </c>
      <c r="E631">
        <v>33015.56</v>
      </c>
      <c r="AX631">
        <v>6.82</v>
      </c>
      <c r="AY631">
        <v>8.34</v>
      </c>
      <c r="AZ631" t="s">
        <v>40</v>
      </c>
      <c r="BA631" t="s">
        <v>66</v>
      </c>
      <c r="BB631">
        <v>33015.56</v>
      </c>
      <c r="BC631">
        <v>33015.56</v>
      </c>
      <c r="BD631">
        <v>33015.56</v>
      </c>
      <c r="BE631">
        <v>33015.56</v>
      </c>
      <c r="BF631">
        <v>29056.04</v>
      </c>
      <c r="BG631">
        <v>3773.75</v>
      </c>
      <c r="BH631">
        <v>3755.23</v>
      </c>
      <c r="BI631">
        <v>9285.49</v>
      </c>
      <c r="BJ631">
        <v>2569.36</v>
      </c>
      <c r="BK631">
        <v>4886.03</v>
      </c>
      <c r="BL631">
        <v>7644.25</v>
      </c>
      <c r="BM631">
        <v>1101.45</v>
      </c>
      <c r="BO631">
        <v>3959.52</v>
      </c>
      <c r="BP631" s="3">
        <v>45684</v>
      </c>
      <c r="BQ631">
        <v>3959.52</v>
      </c>
    </row>
    <row r="632" spans="1:71" x14ac:dyDescent="0.25">
      <c r="A632" t="s">
        <v>806</v>
      </c>
      <c r="B632" t="s">
        <v>136</v>
      </c>
      <c r="C632" s="2">
        <f>HYPERLINK("https://szao.dolgi.msk.ru/account/3470172046/", 3470172046)</f>
        <v>3470172046</v>
      </c>
      <c r="D632" t="s">
        <v>29</v>
      </c>
      <c r="E632">
        <v>65580.97</v>
      </c>
      <c r="AX632">
        <v>13.24</v>
      </c>
      <c r="AY632">
        <v>12.76</v>
      </c>
      <c r="AZ632" t="s">
        <v>69</v>
      </c>
      <c r="BA632" t="s">
        <v>36</v>
      </c>
      <c r="BB632">
        <v>65580.97</v>
      </c>
      <c r="BC632">
        <v>65580.97</v>
      </c>
      <c r="BD632">
        <v>65580.97</v>
      </c>
      <c r="BE632">
        <v>65580.97</v>
      </c>
      <c r="BF632">
        <v>61033.43</v>
      </c>
      <c r="BG632">
        <v>16765.060000000001</v>
      </c>
      <c r="BH632">
        <v>2783.59</v>
      </c>
      <c r="BI632">
        <v>4682.5600000000004</v>
      </c>
      <c r="BJ632">
        <v>1944.37</v>
      </c>
      <c r="BK632">
        <v>2423.27</v>
      </c>
      <c r="BL632">
        <v>31831.16</v>
      </c>
      <c r="BM632">
        <v>5150.96</v>
      </c>
      <c r="BN632">
        <v>325.38</v>
      </c>
      <c r="BP632" s="3">
        <v>45693</v>
      </c>
      <c r="BQ632">
        <v>325.38</v>
      </c>
      <c r="BR632" s="3">
        <v>45385</v>
      </c>
      <c r="BS632" t="s">
        <v>807</v>
      </c>
    </row>
    <row r="633" spans="1:71" x14ac:dyDescent="0.25">
      <c r="A633" t="s">
        <v>806</v>
      </c>
      <c r="B633" t="s">
        <v>147</v>
      </c>
      <c r="C633" s="2">
        <f>HYPERLINK("https://szao.dolgi.msk.ru/account/3470172089/", 3470172089)</f>
        <v>3470172089</v>
      </c>
      <c r="D633" t="s">
        <v>29</v>
      </c>
      <c r="E633">
        <v>10530.43</v>
      </c>
      <c r="AX633">
        <v>2.14</v>
      </c>
      <c r="AY633">
        <v>2.31</v>
      </c>
      <c r="AZ633" t="s">
        <v>30</v>
      </c>
      <c r="BA633" t="s">
        <v>31</v>
      </c>
      <c r="BB633">
        <v>10530.43</v>
      </c>
      <c r="BC633">
        <v>10530.43</v>
      </c>
      <c r="BD633">
        <v>10530.43</v>
      </c>
      <c r="BE633">
        <v>10530.43</v>
      </c>
      <c r="BF633">
        <v>5972.54</v>
      </c>
      <c r="BG633">
        <v>2619.8000000000002</v>
      </c>
      <c r="BH633">
        <v>777.4</v>
      </c>
      <c r="BI633">
        <v>1061.7</v>
      </c>
      <c r="BJ633">
        <v>299</v>
      </c>
      <c r="BK633">
        <v>826.38</v>
      </c>
      <c r="BL633">
        <v>4206.71</v>
      </c>
      <c r="BM633">
        <v>739.44</v>
      </c>
      <c r="BN633">
        <v>4469.72</v>
      </c>
      <c r="BO633">
        <v>4557.8900000000003</v>
      </c>
      <c r="BP633" s="3">
        <v>45685</v>
      </c>
      <c r="BQ633">
        <v>9027.61</v>
      </c>
      <c r="BR633" s="3">
        <v>45407</v>
      </c>
      <c r="BS633" t="s">
        <v>808</v>
      </c>
    </row>
    <row r="634" spans="1:71" x14ac:dyDescent="0.25">
      <c r="A634" t="s">
        <v>809</v>
      </c>
      <c r="B634" t="s">
        <v>28</v>
      </c>
      <c r="C634" s="2">
        <f>HYPERLINK("https://szao.dolgi.msk.ru/account/3470447708/", 3470447708)</f>
        <v>3470447708</v>
      </c>
      <c r="D634" t="s">
        <v>29</v>
      </c>
      <c r="E634">
        <v>24408.27</v>
      </c>
      <c r="AX634">
        <v>5.0599999999999996</v>
      </c>
      <c r="AY634">
        <v>5.08</v>
      </c>
      <c r="AZ634" t="s">
        <v>30</v>
      </c>
      <c r="BA634" t="s">
        <v>49</v>
      </c>
      <c r="BB634">
        <v>24408.27</v>
      </c>
      <c r="BC634">
        <v>24408.27</v>
      </c>
      <c r="BD634">
        <v>24408.27</v>
      </c>
      <c r="BE634">
        <v>24408.27</v>
      </c>
      <c r="BF634">
        <v>19599.29</v>
      </c>
      <c r="BG634">
        <v>4511.7</v>
      </c>
      <c r="BH634">
        <v>2132.1799999999998</v>
      </c>
      <c r="BI634">
        <v>5288.22</v>
      </c>
      <c r="BJ634">
        <v>1458.85</v>
      </c>
      <c r="BK634">
        <v>2777.26</v>
      </c>
      <c r="BL634">
        <v>7036.55</v>
      </c>
      <c r="BM634">
        <v>1203.51</v>
      </c>
      <c r="BP634" s="3">
        <v>45651</v>
      </c>
      <c r="BQ634">
        <v>9131.14</v>
      </c>
      <c r="BR634" s="3">
        <v>44967</v>
      </c>
      <c r="BS634" t="s">
        <v>810</v>
      </c>
    </row>
    <row r="635" spans="1:71" x14ac:dyDescent="0.25">
      <c r="A635" t="s">
        <v>809</v>
      </c>
      <c r="B635" t="s">
        <v>152</v>
      </c>
      <c r="C635" s="2">
        <f>HYPERLINK("https://szao.dolgi.msk.ru/account/3470447791/", 3470447791)</f>
        <v>3470447791</v>
      </c>
      <c r="D635" t="s">
        <v>29</v>
      </c>
      <c r="E635">
        <v>144442.01999999999</v>
      </c>
      <c r="AX635">
        <v>13.87</v>
      </c>
      <c r="AY635">
        <v>14.16</v>
      </c>
      <c r="AZ635" t="s">
        <v>40</v>
      </c>
      <c r="BA635" t="s">
        <v>36</v>
      </c>
      <c r="BB635">
        <v>144442.01999999999</v>
      </c>
      <c r="BC635">
        <v>144442.01999999999</v>
      </c>
      <c r="BD635">
        <v>144442.01999999999</v>
      </c>
      <c r="BE635">
        <v>144442.01999999999</v>
      </c>
      <c r="BF635">
        <v>134239.12</v>
      </c>
      <c r="BG635">
        <v>22717.15</v>
      </c>
      <c r="BH635">
        <v>13770.02</v>
      </c>
      <c r="BI635">
        <v>34998.32</v>
      </c>
      <c r="BJ635">
        <v>9421.7099999999991</v>
      </c>
      <c r="BK635">
        <v>17904.509999999998</v>
      </c>
      <c r="BL635">
        <v>38611.410000000003</v>
      </c>
      <c r="BM635">
        <v>7018.9</v>
      </c>
      <c r="BP635" s="3">
        <v>45654</v>
      </c>
      <c r="BQ635">
        <v>0</v>
      </c>
      <c r="BR635" s="3">
        <v>45362</v>
      </c>
      <c r="BS635" t="s">
        <v>811</v>
      </c>
    </row>
    <row r="636" spans="1:71" x14ac:dyDescent="0.25">
      <c r="A636" t="s">
        <v>812</v>
      </c>
      <c r="B636" t="s">
        <v>311</v>
      </c>
      <c r="C636" s="2">
        <f>HYPERLINK("https://szao.dolgi.msk.ru/account/3470172257/", 3470172257)</f>
        <v>3470172257</v>
      </c>
      <c r="D636" t="s">
        <v>29</v>
      </c>
      <c r="E636">
        <v>13027.12</v>
      </c>
      <c r="AX636">
        <v>2.61</v>
      </c>
      <c r="AY636">
        <v>2.5299999999999998</v>
      </c>
      <c r="AZ636" t="s">
        <v>30</v>
      </c>
      <c r="BA636" t="s">
        <v>31</v>
      </c>
      <c r="BB636">
        <v>13027.12</v>
      </c>
      <c r="BC636">
        <v>13027.12</v>
      </c>
      <c r="BD636">
        <v>13027.12</v>
      </c>
      <c r="BE636">
        <v>13027.12</v>
      </c>
      <c r="BF636">
        <v>7879.25</v>
      </c>
      <c r="BG636">
        <v>4292.8999999999996</v>
      </c>
      <c r="BH636">
        <v>493.34</v>
      </c>
      <c r="BI636">
        <v>0</v>
      </c>
      <c r="BJ636">
        <v>0</v>
      </c>
      <c r="BK636">
        <v>378.75</v>
      </c>
      <c r="BL636">
        <v>6763.98</v>
      </c>
      <c r="BM636">
        <v>1098.1500000000001</v>
      </c>
      <c r="BP636" s="3">
        <v>45615</v>
      </c>
      <c r="BQ636">
        <v>10055.15</v>
      </c>
    </row>
    <row r="637" spans="1:71" x14ac:dyDescent="0.25">
      <c r="A637" t="s">
        <v>812</v>
      </c>
      <c r="B637" t="s">
        <v>502</v>
      </c>
      <c r="C637" s="2">
        <f>HYPERLINK("https://szao.dolgi.msk.ru/account/3470172273/", 3470172273)</f>
        <v>3470172273</v>
      </c>
      <c r="D637" t="s">
        <v>29</v>
      </c>
      <c r="E637">
        <v>19536.87</v>
      </c>
      <c r="AX637">
        <v>4.55</v>
      </c>
      <c r="AY637">
        <v>4.4000000000000004</v>
      </c>
      <c r="AZ637" t="s">
        <v>69</v>
      </c>
      <c r="BA637" t="s">
        <v>49</v>
      </c>
      <c r="BB637">
        <v>19536.87</v>
      </c>
      <c r="BC637">
        <v>19536.87</v>
      </c>
      <c r="BD637">
        <v>19536.87</v>
      </c>
      <c r="BE637">
        <v>19536.87</v>
      </c>
      <c r="BF637">
        <v>15096.65</v>
      </c>
      <c r="BG637">
        <v>6629.98</v>
      </c>
      <c r="BH637">
        <v>4374.92</v>
      </c>
      <c r="BI637">
        <v>0</v>
      </c>
      <c r="BJ637">
        <v>0</v>
      </c>
      <c r="BK637">
        <v>3358.72</v>
      </c>
      <c r="BL637">
        <v>4291.1899999999996</v>
      </c>
      <c r="BM637">
        <v>882.06</v>
      </c>
      <c r="BP637" s="3">
        <v>45574</v>
      </c>
      <c r="BQ637">
        <v>4055.75</v>
      </c>
      <c r="BR637" s="3">
        <v>45489</v>
      </c>
      <c r="BS637" t="s">
        <v>813</v>
      </c>
    </row>
    <row r="638" spans="1:71" x14ac:dyDescent="0.25">
      <c r="A638" t="s">
        <v>814</v>
      </c>
      <c r="B638" t="s">
        <v>311</v>
      </c>
      <c r="C638" s="2">
        <f>HYPERLINK("https://szao.dolgi.msk.ru/account/3470446326/", 3470446326)</f>
        <v>3470446326</v>
      </c>
      <c r="D638" t="s">
        <v>29</v>
      </c>
      <c r="E638">
        <v>80176.899999999994</v>
      </c>
      <c r="AX638">
        <v>7.13</v>
      </c>
      <c r="AY638">
        <v>7.32</v>
      </c>
      <c r="AZ638" t="s">
        <v>35</v>
      </c>
      <c r="BA638" t="s">
        <v>66</v>
      </c>
      <c r="BB638">
        <v>80176.899999999994</v>
      </c>
      <c r="BC638">
        <v>80176.899999999994</v>
      </c>
      <c r="BD638">
        <v>80176.899999999994</v>
      </c>
      <c r="BE638">
        <v>80176.899999999994</v>
      </c>
      <c r="BF638">
        <v>68235.44</v>
      </c>
      <c r="BG638">
        <v>14173.5</v>
      </c>
      <c r="BH638">
        <v>7276.79</v>
      </c>
      <c r="BI638">
        <v>17009.080000000002</v>
      </c>
      <c r="BJ638">
        <v>4506.42</v>
      </c>
      <c r="BK638">
        <v>9343.11</v>
      </c>
      <c r="BL638">
        <v>23451.040000000001</v>
      </c>
      <c r="BM638">
        <v>4416.96</v>
      </c>
      <c r="BO638">
        <v>11941.46</v>
      </c>
      <c r="BP638" s="3">
        <v>45677</v>
      </c>
      <c r="BQ638">
        <v>11941.46</v>
      </c>
      <c r="BR638" s="3">
        <v>45180</v>
      </c>
      <c r="BS638" t="s">
        <v>61</v>
      </c>
    </row>
    <row r="639" spans="1:71" x14ac:dyDescent="0.25">
      <c r="A639" t="s">
        <v>814</v>
      </c>
      <c r="B639" t="s">
        <v>223</v>
      </c>
      <c r="C639" s="2">
        <f>HYPERLINK("https://szao.dolgi.msk.ru/account/3470446385/", 3470446385)</f>
        <v>3470446385</v>
      </c>
      <c r="D639" t="s">
        <v>29</v>
      </c>
      <c r="E639">
        <v>111237.46</v>
      </c>
      <c r="AX639">
        <v>11.79</v>
      </c>
      <c r="AY639">
        <v>11.85</v>
      </c>
      <c r="AZ639" t="s">
        <v>56</v>
      </c>
      <c r="BA639" t="s">
        <v>63</v>
      </c>
      <c r="BB639">
        <v>111237.46</v>
      </c>
      <c r="BC639">
        <v>111237.46</v>
      </c>
      <c r="BD639">
        <v>111237.46</v>
      </c>
      <c r="BE639">
        <v>111237.46</v>
      </c>
      <c r="BF639">
        <v>101848.51</v>
      </c>
      <c r="BG639">
        <v>20133.150000000001</v>
      </c>
      <c r="BH639">
        <v>9921.3799999999992</v>
      </c>
      <c r="BI639">
        <v>24860.48</v>
      </c>
      <c r="BJ639">
        <v>6788.31</v>
      </c>
      <c r="BK639">
        <v>12970.66</v>
      </c>
      <c r="BL639">
        <v>31027.360000000001</v>
      </c>
      <c r="BM639">
        <v>5536.12</v>
      </c>
      <c r="BP639" s="3">
        <v>45301</v>
      </c>
      <c r="BQ639">
        <v>48183.72</v>
      </c>
      <c r="BR639" s="3">
        <v>45688</v>
      </c>
      <c r="BS639" t="s">
        <v>815</v>
      </c>
    </row>
    <row r="640" spans="1:71" x14ac:dyDescent="0.25">
      <c r="A640" t="s">
        <v>816</v>
      </c>
      <c r="B640" t="s">
        <v>139</v>
      </c>
      <c r="C640" s="2">
        <f>HYPERLINK("https://szao.dolgi.msk.ru/account/3470455521/", 3470455521)</f>
        <v>3470455521</v>
      </c>
      <c r="D640" t="s">
        <v>29</v>
      </c>
      <c r="E640">
        <v>188247.99</v>
      </c>
      <c r="AX640">
        <v>56.03</v>
      </c>
      <c r="AY640">
        <v>57.84</v>
      </c>
      <c r="AZ640" t="s">
        <v>69</v>
      </c>
      <c r="BA640" t="s">
        <v>36</v>
      </c>
      <c r="BB640">
        <v>188247.99</v>
      </c>
      <c r="BC640">
        <v>188247.99</v>
      </c>
      <c r="BD640">
        <v>188247.99</v>
      </c>
      <c r="BE640">
        <v>188247.99</v>
      </c>
      <c r="BF640">
        <v>184993.21</v>
      </c>
      <c r="BG640">
        <v>59376.65</v>
      </c>
      <c r="BH640">
        <v>14874.57</v>
      </c>
      <c r="BI640">
        <v>0</v>
      </c>
      <c r="BJ640">
        <v>0</v>
      </c>
      <c r="BK640">
        <v>14841.64</v>
      </c>
      <c r="BL640">
        <v>90144.21</v>
      </c>
      <c r="BM640">
        <v>9010.92</v>
      </c>
      <c r="BN640">
        <v>0</v>
      </c>
      <c r="BP640" s="3">
        <v>45677</v>
      </c>
      <c r="BQ640">
        <v>0</v>
      </c>
      <c r="BR640" s="3">
        <v>45624</v>
      </c>
      <c r="BS640" t="s">
        <v>817</v>
      </c>
    </row>
    <row r="641" spans="1:71" x14ac:dyDescent="0.25">
      <c r="A641" t="s">
        <v>816</v>
      </c>
      <c r="B641" t="s">
        <v>85</v>
      </c>
      <c r="C641" s="2">
        <f>HYPERLINK("https://szao.dolgi.msk.ru/account/3470433517/", 3470433517)</f>
        <v>3470433517</v>
      </c>
      <c r="D641" t="s">
        <v>29</v>
      </c>
      <c r="E641">
        <v>373675.83</v>
      </c>
      <c r="AX641">
        <v>25.11</v>
      </c>
      <c r="AY641">
        <v>25.01</v>
      </c>
      <c r="AZ641" t="s">
        <v>40</v>
      </c>
      <c r="BA641" t="s">
        <v>36</v>
      </c>
      <c r="BB641">
        <v>373675.83</v>
      </c>
      <c r="BC641">
        <v>373675.83</v>
      </c>
      <c r="BD641">
        <v>373675.83</v>
      </c>
      <c r="BE641">
        <v>373675.83</v>
      </c>
      <c r="BF641">
        <v>359100.2</v>
      </c>
      <c r="BG641">
        <v>67492.240000000005</v>
      </c>
      <c r="BH641">
        <v>104805.24</v>
      </c>
      <c r="BI641">
        <v>0</v>
      </c>
      <c r="BJ641">
        <v>0</v>
      </c>
      <c r="BK641">
        <v>79732.23</v>
      </c>
      <c r="BL641">
        <v>106668.93</v>
      </c>
      <c r="BM641">
        <v>14977.19</v>
      </c>
      <c r="BN641">
        <v>0</v>
      </c>
      <c r="BO641">
        <v>14943.89</v>
      </c>
      <c r="BP641" s="3">
        <v>45677</v>
      </c>
      <c r="BQ641">
        <v>14943.89</v>
      </c>
      <c r="BR641" s="3">
        <v>45632</v>
      </c>
      <c r="BS641" t="s">
        <v>818</v>
      </c>
    </row>
    <row r="642" spans="1:71" x14ac:dyDescent="0.25">
      <c r="A642" t="s">
        <v>816</v>
      </c>
      <c r="B642" t="s">
        <v>27</v>
      </c>
      <c r="C642" s="2">
        <f>HYPERLINK("https://szao.dolgi.msk.ru/account/3470455978/", 3470455978)</f>
        <v>3470455978</v>
      </c>
      <c r="D642" t="s">
        <v>29</v>
      </c>
      <c r="E642">
        <v>81481.88</v>
      </c>
      <c r="AX642">
        <v>17.600000000000001</v>
      </c>
      <c r="AY642">
        <v>16</v>
      </c>
      <c r="AZ642" t="s">
        <v>45</v>
      </c>
      <c r="BA642" t="s">
        <v>36</v>
      </c>
      <c r="BB642">
        <v>81481.88</v>
      </c>
      <c r="BC642">
        <v>81481.88</v>
      </c>
      <c r="BD642">
        <v>81481.88</v>
      </c>
      <c r="BE642">
        <v>81481.88</v>
      </c>
      <c r="BF642">
        <v>76512.490000000005</v>
      </c>
      <c r="BG642">
        <v>10242.59</v>
      </c>
      <c r="BH642">
        <v>25427.21</v>
      </c>
      <c r="BI642">
        <v>0</v>
      </c>
      <c r="BJ642">
        <v>0</v>
      </c>
      <c r="BK642">
        <v>18634.79</v>
      </c>
      <c r="BL642">
        <v>21904.03</v>
      </c>
      <c r="BM642">
        <v>5273.26</v>
      </c>
      <c r="BP642" s="3">
        <v>45388</v>
      </c>
      <c r="BQ642">
        <v>20883.11</v>
      </c>
      <c r="BR642" s="3">
        <v>45638</v>
      </c>
      <c r="BS642" t="s">
        <v>819</v>
      </c>
    </row>
    <row r="643" spans="1:71" x14ac:dyDescent="0.25">
      <c r="A643" t="s">
        <v>820</v>
      </c>
      <c r="B643" t="s">
        <v>52</v>
      </c>
      <c r="C643" s="2">
        <f>HYPERLINK("https://szao.dolgi.msk.ru/account/3470172791/", 3470172791)</f>
        <v>3470172791</v>
      </c>
      <c r="D643" t="s">
        <v>29</v>
      </c>
      <c r="E643">
        <v>22325.91</v>
      </c>
      <c r="AX643">
        <v>2.82</v>
      </c>
      <c r="AY643">
        <v>2.84</v>
      </c>
      <c r="AZ643" t="s">
        <v>69</v>
      </c>
      <c r="BA643" t="s">
        <v>31</v>
      </c>
      <c r="BB643">
        <v>22325.91</v>
      </c>
      <c r="BC643">
        <v>22325.91</v>
      </c>
      <c r="BD643">
        <v>22325.91</v>
      </c>
      <c r="BE643">
        <v>22325.91</v>
      </c>
      <c r="BF643">
        <v>14457.74</v>
      </c>
      <c r="BG643">
        <v>4344.53</v>
      </c>
      <c r="BH643">
        <v>2909.31</v>
      </c>
      <c r="BI643">
        <v>3022.67</v>
      </c>
      <c r="BJ643">
        <v>851.26</v>
      </c>
      <c r="BK643">
        <v>2887.09</v>
      </c>
      <c r="BL643">
        <v>7199.7</v>
      </c>
      <c r="BM643">
        <v>1111.3499999999999</v>
      </c>
      <c r="BP643" s="3">
        <v>45583</v>
      </c>
      <c r="BQ643">
        <v>8501.23</v>
      </c>
    </row>
    <row r="644" spans="1:71" x14ac:dyDescent="0.25">
      <c r="A644" t="s">
        <v>821</v>
      </c>
      <c r="B644" t="s">
        <v>139</v>
      </c>
      <c r="C644" s="2">
        <f>HYPERLINK("https://szao.dolgi.msk.ru/account/3470470123/", 3470470123)</f>
        <v>3470470123</v>
      </c>
      <c r="D644" t="s">
        <v>29</v>
      </c>
      <c r="E644">
        <v>13370.97</v>
      </c>
      <c r="AX644">
        <v>2.21</v>
      </c>
      <c r="AY644">
        <v>1.88</v>
      </c>
      <c r="AZ644" t="s">
        <v>40</v>
      </c>
      <c r="BA644" t="s">
        <v>31</v>
      </c>
      <c r="BB644">
        <v>13370.97</v>
      </c>
      <c r="BC644">
        <v>13370.97</v>
      </c>
      <c r="BD644">
        <v>13370.97</v>
      </c>
      <c r="BE644">
        <v>13370.97</v>
      </c>
      <c r="BF644">
        <v>6273.17</v>
      </c>
      <c r="BG644">
        <v>4855.87</v>
      </c>
      <c r="BH644">
        <v>0</v>
      </c>
      <c r="BI644">
        <v>0</v>
      </c>
      <c r="BJ644">
        <v>0</v>
      </c>
      <c r="BK644">
        <v>0</v>
      </c>
      <c r="BL644">
        <v>7452.88</v>
      </c>
      <c r="BM644">
        <v>1062.22</v>
      </c>
      <c r="BP644" s="3">
        <v>45653</v>
      </c>
      <c r="BQ644">
        <v>6273.17</v>
      </c>
    </row>
    <row r="645" spans="1:71" x14ac:dyDescent="0.25">
      <c r="A645" t="s">
        <v>821</v>
      </c>
      <c r="B645" t="s">
        <v>160</v>
      </c>
      <c r="C645" s="2">
        <f>HYPERLINK("https://szao.dolgi.msk.ru/account/3470314235/", 3470314235)</f>
        <v>3470314235</v>
      </c>
      <c r="D645" t="s">
        <v>29</v>
      </c>
      <c r="E645">
        <v>30743.94</v>
      </c>
      <c r="AX645">
        <v>11.24</v>
      </c>
      <c r="AY645">
        <v>11.01</v>
      </c>
      <c r="AZ645" t="s">
        <v>56</v>
      </c>
      <c r="BA645" t="s">
        <v>63</v>
      </c>
      <c r="BB645">
        <v>30743.94</v>
      </c>
      <c r="BC645">
        <v>30743.94</v>
      </c>
      <c r="BD645">
        <v>30743.94</v>
      </c>
      <c r="BE645">
        <v>30743.94</v>
      </c>
      <c r="BF645">
        <v>27950.57</v>
      </c>
      <c r="BG645">
        <v>9482.1299999999992</v>
      </c>
      <c r="BH645">
        <v>605.86</v>
      </c>
      <c r="BI645">
        <v>635.73</v>
      </c>
      <c r="BJ645">
        <v>174.02</v>
      </c>
      <c r="BK645">
        <v>605.17999999999995</v>
      </c>
      <c r="BL645">
        <v>16750.86</v>
      </c>
      <c r="BM645">
        <v>2490.16</v>
      </c>
      <c r="BP645" s="3">
        <v>45303</v>
      </c>
      <c r="BQ645">
        <v>2274.84</v>
      </c>
      <c r="BR645" s="3">
        <v>45531</v>
      </c>
      <c r="BS645" t="s">
        <v>822</v>
      </c>
    </row>
    <row r="646" spans="1:71" x14ac:dyDescent="0.25">
      <c r="A646" t="s">
        <v>823</v>
      </c>
      <c r="B646" t="s">
        <v>28</v>
      </c>
      <c r="C646" s="2">
        <f>HYPERLINK("https://szao.dolgi.msk.ru/account/3470167677/", 3470167677)</f>
        <v>3470167677</v>
      </c>
      <c r="D646" t="s">
        <v>29</v>
      </c>
      <c r="E646">
        <v>497268.39</v>
      </c>
      <c r="AX646">
        <v>23.66</v>
      </c>
      <c r="AY646">
        <v>20.02</v>
      </c>
      <c r="AZ646" t="s">
        <v>56</v>
      </c>
      <c r="BA646" t="s">
        <v>36</v>
      </c>
      <c r="BB646">
        <v>497268.39</v>
      </c>
      <c r="BC646">
        <v>497268.39</v>
      </c>
      <c r="BD646">
        <v>497268.39</v>
      </c>
      <c r="BE646">
        <v>497268.39</v>
      </c>
      <c r="BF646">
        <v>472433.7</v>
      </c>
      <c r="BG646">
        <v>54803.95</v>
      </c>
      <c r="BH646">
        <v>75983.48</v>
      </c>
      <c r="BI646">
        <v>105994.42</v>
      </c>
      <c r="BJ646">
        <v>69825.86</v>
      </c>
      <c r="BK646">
        <v>108026.54</v>
      </c>
      <c r="BL646">
        <v>72539.399999999994</v>
      </c>
      <c r="BM646">
        <v>10094.74</v>
      </c>
      <c r="BP646" s="3">
        <v>45653</v>
      </c>
      <c r="BQ646">
        <v>4444.96</v>
      </c>
      <c r="BR646" s="3">
        <v>45355</v>
      </c>
      <c r="BS646" t="s">
        <v>824</v>
      </c>
    </row>
    <row r="647" spans="1:71" x14ac:dyDescent="0.25">
      <c r="A647" t="s">
        <v>823</v>
      </c>
      <c r="B647" t="s">
        <v>127</v>
      </c>
      <c r="C647" s="2">
        <f>HYPERLINK("https://szao.dolgi.msk.ru/account/3470168872/", 3470168872)</f>
        <v>3470168872</v>
      </c>
      <c r="D647" t="s">
        <v>29</v>
      </c>
      <c r="E647">
        <v>27069.85</v>
      </c>
      <c r="AX647">
        <v>2.1800000000000002</v>
      </c>
      <c r="AY647">
        <v>2.06</v>
      </c>
      <c r="AZ647" t="s">
        <v>40</v>
      </c>
      <c r="BA647" t="s">
        <v>31</v>
      </c>
      <c r="BB647">
        <v>27069.85</v>
      </c>
      <c r="BC647">
        <v>27069.85</v>
      </c>
      <c r="BD647">
        <v>27069.85</v>
      </c>
      <c r="BE647">
        <v>27069.85</v>
      </c>
      <c r="BF647">
        <v>14312.44</v>
      </c>
      <c r="BG647">
        <v>7518.79</v>
      </c>
      <c r="BH647">
        <v>2039.79</v>
      </c>
      <c r="BI647">
        <v>4705.45</v>
      </c>
      <c r="BJ647">
        <v>1325.16</v>
      </c>
      <c r="BK647">
        <v>2678.34</v>
      </c>
      <c r="BL647">
        <v>7378.46</v>
      </c>
      <c r="BM647">
        <v>1423.86</v>
      </c>
      <c r="BP647" s="3">
        <v>45630</v>
      </c>
      <c r="BQ647">
        <v>577.25</v>
      </c>
      <c r="BR647" s="3">
        <v>45671</v>
      </c>
      <c r="BS647" t="s">
        <v>825</v>
      </c>
    </row>
    <row r="648" spans="1:71" x14ac:dyDescent="0.25">
      <c r="A648" t="s">
        <v>823</v>
      </c>
      <c r="B648" t="s">
        <v>103</v>
      </c>
      <c r="C648" s="2">
        <f>HYPERLINK("https://szao.dolgi.msk.ru/account/3470168178/", 3470168178)</f>
        <v>3470168178</v>
      </c>
      <c r="D648" t="s">
        <v>29</v>
      </c>
      <c r="E648">
        <v>39387.620000000003</v>
      </c>
      <c r="AX648">
        <v>11.11</v>
      </c>
      <c r="AY648">
        <v>11.32</v>
      </c>
      <c r="AZ648" t="s">
        <v>56</v>
      </c>
      <c r="BA648" t="s">
        <v>63</v>
      </c>
      <c r="BB648">
        <v>39387.620000000003</v>
      </c>
      <c r="BC648">
        <v>39387.620000000003</v>
      </c>
      <c r="BD648">
        <v>39387.620000000003</v>
      </c>
      <c r="BE648">
        <v>39387.620000000003</v>
      </c>
      <c r="BF648">
        <v>35909.120000000003</v>
      </c>
      <c r="BG648">
        <v>14156.33</v>
      </c>
      <c r="BH648">
        <v>883</v>
      </c>
      <c r="BI648">
        <v>2280.3000000000002</v>
      </c>
      <c r="BJ648">
        <v>604.15</v>
      </c>
      <c r="BK648">
        <v>1167.1500000000001</v>
      </c>
      <c r="BL648">
        <v>17397.71</v>
      </c>
      <c r="BM648">
        <v>2898.98</v>
      </c>
      <c r="BP648" s="3">
        <v>45225</v>
      </c>
      <c r="BQ648">
        <v>2498.08</v>
      </c>
    </row>
    <row r="649" spans="1:71" x14ac:dyDescent="0.25">
      <c r="A649" t="s">
        <v>823</v>
      </c>
      <c r="B649" t="s">
        <v>826</v>
      </c>
      <c r="C649" s="2">
        <f>HYPERLINK("https://szao.dolgi.msk.ru/account/3470167896/", 3470167896)</f>
        <v>3470167896</v>
      </c>
      <c r="D649" t="s">
        <v>29</v>
      </c>
      <c r="E649">
        <v>52183.17</v>
      </c>
      <c r="AX649">
        <v>5.2</v>
      </c>
      <c r="AY649">
        <v>5.12</v>
      </c>
      <c r="AZ649" t="s">
        <v>30</v>
      </c>
      <c r="BA649" t="s">
        <v>49</v>
      </c>
      <c r="BB649">
        <v>52183.17</v>
      </c>
      <c r="BC649">
        <v>52183.17</v>
      </c>
      <c r="BD649">
        <v>52183.17</v>
      </c>
      <c r="BE649">
        <v>52183.17</v>
      </c>
      <c r="BF649">
        <v>41987.82</v>
      </c>
      <c r="BG649">
        <v>6964.02</v>
      </c>
      <c r="BH649">
        <v>6637.43</v>
      </c>
      <c r="BI649">
        <v>15793.98</v>
      </c>
      <c r="BJ649">
        <v>4430.53</v>
      </c>
      <c r="BK649">
        <v>8504.99</v>
      </c>
      <c r="BL649">
        <v>8477.48</v>
      </c>
      <c r="BM649">
        <v>1374.74</v>
      </c>
      <c r="BP649" s="3">
        <v>45630</v>
      </c>
      <c r="BQ649">
        <v>33748.94</v>
      </c>
      <c r="BR649" s="3">
        <v>45489</v>
      </c>
      <c r="BS649" t="s">
        <v>827</v>
      </c>
    </row>
    <row r="650" spans="1:71" x14ac:dyDescent="0.25">
      <c r="A650" t="s">
        <v>828</v>
      </c>
      <c r="B650" t="s">
        <v>28</v>
      </c>
      <c r="C650" s="2">
        <f>HYPERLINK("https://szao.dolgi.msk.ru/account/3470476314/", 3470476314)</f>
        <v>3470476314</v>
      </c>
      <c r="D650" t="s">
        <v>29</v>
      </c>
      <c r="E650">
        <v>95008.85</v>
      </c>
      <c r="AX650">
        <v>49.3</v>
      </c>
      <c r="AY650">
        <v>40.96</v>
      </c>
      <c r="AZ650" t="s">
        <v>69</v>
      </c>
      <c r="BA650" t="s">
        <v>36</v>
      </c>
      <c r="BB650">
        <v>95008.85</v>
      </c>
      <c r="BC650">
        <v>95008.85</v>
      </c>
      <c r="BD650">
        <v>95008.85</v>
      </c>
      <c r="BE650">
        <v>95008.85</v>
      </c>
      <c r="BF650">
        <v>92745.35</v>
      </c>
      <c r="BG650">
        <v>28610.55</v>
      </c>
      <c r="BH650">
        <v>4428.34</v>
      </c>
      <c r="BI650">
        <v>7446.11</v>
      </c>
      <c r="BJ650">
        <v>2435.67</v>
      </c>
      <c r="BK650">
        <v>5117.82</v>
      </c>
      <c r="BL650">
        <v>41425.599999999999</v>
      </c>
      <c r="BM650">
        <v>5544.76</v>
      </c>
      <c r="BP650" s="3">
        <v>45561</v>
      </c>
      <c r="BQ650">
        <v>0</v>
      </c>
      <c r="BR650" s="3">
        <v>45631</v>
      </c>
      <c r="BS650" t="s">
        <v>829</v>
      </c>
    </row>
    <row r="651" spans="1:71" x14ac:dyDescent="0.25">
      <c r="A651" t="s">
        <v>828</v>
      </c>
      <c r="B651" t="s">
        <v>147</v>
      </c>
      <c r="C651" s="2">
        <f>HYPERLINK("https://szao.dolgi.msk.ru/account/3470476947/", 3470476947)</f>
        <v>3470476947</v>
      </c>
      <c r="D651" t="s">
        <v>29</v>
      </c>
      <c r="E651">
        <v>57938.47</v>
      </c>
      <c r="AX651">
        <v>7.3</v>
      </c>
      <c r="AY651">
        <v>7.33</v>
      </c>
      <c r="AZ651" t="s">
        <v>40</v>
      </c>
      <c r="BA651" t="s">
        <v>66</v>
      </c>
      <c r="BB651">
        <v>57938.47</v>
      </c>
      <c r="BC651">
        <v>57938.47</v>
      </c>
      <c r="BD651">
        <v>59361.599999999999</v>
      </c>
      <c r="BE651">
        <v>59361.599999999999</v>
      </c>
      <c r="BF651">
        <v>56641.09</v>
      </c>
      <c r="BG651">
        <v>15910.51</v>
      </c>
      <c r="BH651">
        <v>-1423.13</v>
      </c>
      <c r="BI651">
        <v>16613.95</v>
      </c>
      <c r="BJ651">
        <v>2622.33</v>
      </c>
      <c r="BK651">
        <v>1587.13</v>
      </c>
      <c r="BL651">
        <v>19448.849999999999</v>
      </c>
      <c r="BM651">
        <v>3178.83</v>
      </c>
      <c r="BN651">
        <v>11908.79</v>
      </c>
      <c r="BP651" s="3">
        <v>45692</v>
      </c>
      <c r="BQ651">
        <v>6487.95</v>
      </c>
      <c r="BR651" s="3">
        <v>45580</v>
      </c>
      <c r="BS651" t="s">
        <v>830</v>
      </c>
    </row>
    <row r="652" spans="1:71" x14ac:dyDescent="0.25">
      <c r="A652" t="s">
        <v>828</v>
      </c>
      <c r="B652" t="s">
        <v>152</v>
      </c>
      <c r="C652" s="2">
        <f>HYPERLINK("https://szao.dolgi.msk.ru/account/3470476437/", 3470476437)</f>
        <v>3470476437</v>
      </c>
      <c r="D652" t="s">
        <v>29</v>
      </c>
      <c r="E652">
        <v>41042.160000000003</v>
      </c>
      <c r="AX652">
        <v>14.77</v>
      </c>
      <c r="AY652">
        <v>14.05</v>
      </c>
      <c r="AZ652" t="s">
        <v>56</v>
      </c>
      <c r="BA652" t="s">
        <v>36</v>
      </c>
      <c r="BB652">
        <v>41042.160000000003</v>
      </c>
      <c r="BC652">
        <v>41042.160000000003</v>
      </c>
      <c r="BD652">
        <v>41350.81</v>
      </c>
      <c r="BE652">
        <v>41350.81</v>
      </c>
      <c r="BF652">
        <v>38183.9</v>
      </c>
      <c r="BG652">
        <v>14674.73</v>
      </c>
      <c r="BH652">
        <v>1073.5899999999999</v>
      </c>
      <c r="BI652">
        <v>2702.81</v>
      </c>
      <c r="BJ652">
        <v>-308.64999999999998</v>
      </c>
      <c r="BK652">
        <v>1405.96</v>
      </c>
      <c r="BL652">
        <v>18510.689999999999</v>
      </c>
      <c r="BM652">
        <v>2983.03</v>
      </c>
      <c r="BP652" s="3">
        <v>45175</v>
      </c>
      <c r="BQ652">
        <v>17388.189999999999</v>
      </c>
      <c r="BR652" s="3">
        <v>45531</v>
      </c>
      <c r="BS652" t="s">
        <v>831</v>
      </c>
    </row>
    <row r="653" spans="1:71" x14ac:dyDescent="0.25">
      <c r="A653" t="s">
        <v>828</v>
      </c>
      <c r="B653" t="s">
        <v>502</v>
      </c>
      <c r="C653" s="2">
        <f>HYPERLINK("https://szao.dolgi.msk.ru/account/3470542422/", 3470542422)</f>
        <v>3470542422</v>
      </c>
      <c r="D653" t="s">
        <v>29</v>
      </c>
      <c r="E653">
        <v>2814.89</v>
      </c>
      <c r="AX653">
        <v>2.75</v>
      </c>
      <c r="AY653">
        <v>2.66</v>
      </c>
      <c r="AZ653" t="s">
        <v>69</v>
      </c>
      <c r="BA653" t="s">
        <v>31</v>
      </c>
      <c r="BB653">
        <v>2814.89</v>
      </c>
      <c r="BC653">
        <v>2814.89</v>
      </c>
      <c r="BD653">
        <v>2814.89</v>
      </c>
      <c r="BE653">
        <v>2814.89</v>
      </c>
      <c r="BF653">
        <v>1780.3</v>
      </c>
      <c r="BG653">
        <v>1143.3599999999999</v>
      </c>
      <c r="BH653">
        <v>22.48</v>
      </c>
      <c r="BI653">
        <v>67.040000000000006</v>
      </c>
      <c r="BJ653">
        <v>18.88</v>
      </c>
      <c r="BK653">
        <v>31.75</v>
      </c>
      <c r="BL653">
        <v>1335.09</v>
      </c>
      <c r="BM653">
        <v>196.29</v>
      </c>
      <c r="BP653" s="3">
        <v>45582</v>
      </c>
      <c r="BQ653">
        <v>870.93</v>
      </c>
    </row>
    <row r="654" spans="1:71" x14ac:dyDescent="0.25">
      <c r="A654" t="s">
        <v>828</v>
      </c>
      <c r="B654" t="s">
        <v>502</v>
      </c>
      <c r="C654" s="2">
        <f>HYPERLINK("https://szao.dolgi.msk.ru/account/3470542449/", 3470542449)</f>
        <v>3470542449</v>
      </c>
      <c r="D654" t="s">
        <v>29</v>
      </c>
      <c r="E654">
        <v>25995.22</v>
      </c>
      <c r="AX654">
        <v>25.89</v>
      </c>
      <c r="AY654">
        <v>25.16</v>
      </c>
      <c r="AZ654" t="s">
        <v>45</v>
      </c>
      <c r="BA654" t="s">
        <v>36</v>
      </c>
      <c r="BB654">
        <v>25995.22</v>
      </c>
      <c r="BC654">
        <v>25995.22</v>
      </c>
      <c r="BD654">
        <v>25995.22</v>
      </c>
      <c r="BE654">
        <v>25995.22</v>
      </c>
      <c r="BF654">
        <v>24986.41</v>
      </c>
      <c r="BG654">
        <v>7343.62</v>
      </c>
      <c r="BH654">
        <v>1221.24</v>
      </c>
      <c r="BI654">
        <v>3244.96</v>
      </c>
      <c r="BJ654">
        <v>842.91</v>
      </c>
      <c r="BK654">
        <v>1525.17</v>
      </c>
      <c r="BL654">
        <v>9539.25</v>
      </c>
      <c r="BM654">
        <v>2278.0700000000002</v>
      </c>
      <c r="BP654" s="3">
        <v>45474</v>
      </c>
      <c r="BQ654">
        <v>807.38</v>
      </c>
      <c r="BR654" s="3">
        <v>45481</v>
      </c>
      <c r="BS654" t="s">
        <v>832</v>
      </c>
    </row>
    <row r="655" spans="1:71" x14ac:dyDescent="0.25">
      <c r="A655" t="s">
        <v>828</v>
      </c>
      <c r="B655" t="s">
        <v>85</v>
      </c>
      <c r="C655" s="2">
        <f>HYPERLINK("https://szao.dolgi.msk.ru/account/3470476904/", 3470476904)</f>
        <v>3470476904</v>
      </c>
      <c r="D655" t="s">
        <v>29</v>
      </c>
      <c r="E655">
        <v>45154.57</v>
      </c>
      <c r="AX655">
        <v>7.07</v>
      </c>
      <c r="AY655">
        <v>7.1</v>
      </c>
      <c r="AZ655" t="s">
        <v>40</v>
      </c>
      <c r="BA655" t="s">
        <v>66</v>
      </c>
      <c r="BB655">
        <v>45154.57</v>
      </c>
      <c r="BC655">
        <v>45154.57</v>
      </c>
      <c r="BD655">
        <v>45154.57</v>
      </c>
      <c r="BE655">
        <v>45154.57</v>
      </c>
      <c r="BF655">
        <v>38922.230000000003</v>
      </c>
      <c r="BG655">
        <v>12814.68</v>
      </c>
      <c r="BH655">
        <v>4814.8999999999996</v>
      </c>
      <c r="BI655">
        <v>3761.79</v>
      </c>
      <c r="BJ655">
        <v>1049.79</v>
      </c>
      <c r="BK655">
        <v>4513.78</v>
      </c>
      <c r="BL655">
        <v>15837.55</v>
      </c>
      <c r="BM655">
        <v>2362.08</v>
      </c>
      <c r="BP655" s="3">
        <v>45610</v>
      </c>
      <c r="BQ655">
        <v>6375.84</v>
      </c>
      <c r="BR655" s="3">
        <v>44862</v>
      </c>
      <c r="BS655" t="s">
        <v>833</v>
      </c>
    </row>
    <row r="656" spans="1:71" x14ac:dyDescent="0.25">
      <c r="A656" t="s">
        <v>834</v>
      </c>
      <c r="B656" t="s">
        <v>48</v>
      </c>
      <c r="C656" s="2">
        <f>HYPERLINK("https://szao.dolgi.msk.ru/account/3470169859/", 3470169859)</f>
        <v>3470169859</v>
      </c>
      <c r="D656" t="s">
        <v>29</v>
      </c>
      <c r="E656">
        <v>50803.33</v>
      </c>
      <c r="AX656">
        <v>7.5</v>
      </c>
      <c r="AY656">
        <v>8.2100000000000009</v>
      </c>
      <c r="AZ656" t="s">
        <v>30</v>
      </c>
      <c r="BA656" t="s">
        <v>66</v>
      </c>
      <c r="BB656">
        <v>50803.33</v>
      </c>
      <c r="BC656">
        <v>50803.33</v>
      </c>
      <c r="BD656">
        <v>50803.33</v>
      </c>
      <c r="BE656">
        <v>50803.33</v>
      </c>
      <c r="BF656">
        <v>54615.26</v>
      </c>
      <c r="BG656">
        <v>6487.77</v>
      </c>
      <c r="BH656">
        <v>3640.18</v>
      </c>
      <c r="BI656">
        <v>17221.330000000002</v>
      </c>
      <c r="BJ656">
        <v>5102.95</v>
      </c>
      <c r="BK656">
        <v>8247.75</v>
      </c>
      <c r="BL656">
        <v>8826.9500000000007</v>
      </c>
      <c r="BM656">
        <v>1276.4000000000001</v>
      </c>
      <c r="BN656">
        <v>10000</v>
      </c>
      <c r="BP656" s="3">
        <v>45696</v>
      </c>
      <c r="BQ656">
        <v>10000</v>
      </c>
      <c r="BR656" s="3">
        <v>45622</v>
      </c>
      <c r="BS656" t="s">
        <v>835</v>
      </c>
    </row>
    <row r="657" spans="1:71" x14ac:dyDescent="0.25">
      <c r="A657" t="s">
        <v>834</v>
      </c>
      <c r="B657" t="s">
        <v>579</v>
      </c>
      <c r="C657" s="2">
        <f>HYPERLINK("https://szao.dolgi.msk.ru/account/3470169939/", 3470169939)</f>
        <v>3470169939</v>
      </c>
      <c r="D657" t="s">
        <v>29</v>
      </c>
      <c r="E657">
        <v>38145.72</v>
      </c>
      <c r="AX657">
        <v>5.55</v>
      </c>
      <c r="AY657">
        <v>5.59</v>
      </c>
      <c r="AZ657" t="s">
        <v>69</v>
      </c>
      <c r="BA657" t="s">
        <v>49</v>
      </c>
      <c r="BB657">
        <v>38145.72</v>
      </c>
      <c r="BC657">
        <v>38145.72</v>
      </c>
      <c r="BD657">
        <v>38145.72</v>
      </c>
      <c r="BE657">
        <v>38145.72</v>
      </c>
      <c r="BF657">
        <v>32459.78</v>
      </c>
      <c r="BG657">
        <v>13801.93</v>
      </c>
      <c r="BH657">
        <v>1105.3</v>
      </c>
      <c r="BI657">
        <v>3012.3</v>
      </c>
      <c r="BJ657">
        <v>847.72</v>
      </c>
      <c r="BK657">
        <v>1558.23</v>
      </c>
      <c r="BL657">
        <v>15080.64</v>
      </c>
      <c r="BM657">
        <v>2739.6</v>
      </c>
      <c r="BP657" s="3">
        <v>45565</v>
      </c>
      <c r="BQ657">
        <v>6064.95</v>
      </c>
      <c r="BR657" s="3">
        <v>45695</v>
      </c>
      <c r="BS657" t="s">
        <v>836</v>
      </c>
    </row>
    <row r="658" spans="1:71" x14ac:dyDescent="0.25">
      <c r="A658" t="s">
        <v>834</v>
      </c>
      <c r="B658" t="s">
        <v>410</v>
      </c>
      <c r="C658" s="2">
        <f>HYPERLINK("https://szao.dolgi.msk.ru/account/3470170235/", 3470170235)</f>
        <v>3470170235</v>
      </c>
      <c r="D658" t="s">
        <v>29</v>
      </c>
      <c r="E658">
        <v>790062.27</v>
      </c>
      <c r="AX658">
        <v>93.92</v>
      </c>
      <c r="AY658">
        <v>106.2</v>
      </c>
      <c r="AZ658" t="s">
        <v>40</v>
      </c>
      <c r="BA658" t="s">
        <v>36</v>
      </c>
      <c r="BB658">
        <v>790062.27</v>
      </c>
      <c r="BC658">
        <v>790062.27</v>
      </c>
      <c r="BD658">
        <v>790062.27</v>
      </c>
      <c r="BE658">
        <v>790062.27</v>
      </c>
      <c r="BF658">
        <v>782622.91</v>
      </c>
      <c r="BG658">
        <v>83022.73</v>
      </c>
      <c r="BH658">
        <v>113217.64</v>
      </c>
      <c r="BI658">
        <v>317765.40999999997</v>
      </c>
      <c r="BJ658">
        <v>81929.66</v>
      </c>
      <c r="BK658">
        <v>131596.35</v>
      </c>
      <c r="BL658">
        <v>54296.95</v>
      </c>
      <c r="BM658">
        <v>8233.5300000000007</v>
      </c>
      <c r="BP658" s="3">
        <v>45653</v>
      </c>
      <c r="BQ658">
        <v>6192.95</v>
      </c>
      <c r="BR658" s="3">
        <v>45692</v>
      </c>
      <c r="BS658" t="s">
        <v>128</v>
      </c>
    </row>
    <row r="659" spans="1:71" x14ac:dyDescent="0.25">
      <c r="A659" t="s">
        <v>837</v>
      </c>
      <c r="B659" t="s">
        <v>147</v>
      </c>
      <c r="C659" s="2">
        <f>HYPERLINK("https://szao.dolgi.msk.ru/account/3470325989/", 3470325989)</f>
        <v>3470325989</v>
      </c>
      <c r="D659" t="s">
        <v>29</v>
      </c>
      <c r="E659">
        <v>30537.96</v>
      </c>
      <c r="AX659">
        <v>3.18</v>
      </c>
      <c r="AY659">
        <v>3.06</v>
      </c>
      <c r="AZ659" t="s">
        <v>69</v>
      </c>
      <c r="BA659" t="s">
        <v>49</v>
      </c>
      <c r="BB659">
        <v>30537.96</v>
      </c>
      <c r="BC659">
        <v>30537.96</v>
      </c>
      <c r="BD659">
        <v>30537.96</v>
      </c>
      <c r="BE659">
        <v>30537.96</v>
      </c>
      <c r="BF659">
        <v>20542.14</v>
      </c>
      <c r="BG659">
        <v>12135.86</v>
      </c>
      <c r="BH659">
        <v>443.29</v>
      </c>
      <c r="BI659">
        <v>895.74</v>
      </c>
      <c r="BJ659">
        <v>256.33999999999997</v>
      </c>
      <c r="BK659">
        <v>546.01</v>
      </c>
      <c r="BL659">
        <v>13907.4</v>
      </c>
      <c r="BM659">
        <v>2353.3200000000002</v>
      </c>
      <c r="BP659" s="3">
        <v>45594</v>
      </c>
      <c r="BQ659">
        <v>6881</v>
      </c>
    </row>
    <row r="660" spans="1:71" x14ac:dyDescent="0.25">
      <c r="A660" t="s">
        <v>837</v>
      </c>
      <c r="B660" t="s">
        <v>106</v>
      </c>
      <c r="C660" s="2">
        <f>HYPERLINK("https://szao.dolgi.msk.ru/account/3470332644/", 3470332644)</f>
        <v>3470332644</v>
      </c>
      <c r="D660" t="s">
        <v>29</v>
      </c>
      <c r="E660">
        <v>127868.47</v>
      </c>
      <c r="AX660">
        <v>10.210000000000001</v>
      </c>
      <c r="AY660">
        <v>10.33</v>
      </c>
      <c r="AZ660" t="s">
        <v>45</v>
      </c>
      <c r="BA660" t="s">
        <v>63</v>
      </c>
      <c r="BB660">
        <v>127868.47</v>
      </c>
      <c r="BC660">
        <v>127868.47</v>
      </c>
      <c r="BD660">
        <v>127868.47</v>
      </c>
      <c r="BE660">
        <v>127868.47</v>
      </c>
      <c r="BF660">
        <v>115484.66</v>
      </c>
      <c r="BG660">
        <v>44712.37</v>
      </c>
      <c r="BH660">
        <v>7678.95</v>
      </c>
      <c r="BI660">
        <v>6044.82</v>
      </c>
      <c r="BJ660">
        <v>1609.84</v>
      </c>
      <c r="BK660">
        <v>7223.44</v>
      </c>
      <c r="BL660">
        <v>51531.21</v>
      </c>
      <c r="BM660">
        <v>9067.84</v>
      </c>
      <c r="BP660" s="3">
        <v>45475</v>
      </c>
      <c r="BQ660">
        <v>9766.32</v>
      </c>
    </row>
    <row r="661" spans="1:71" x14ac:dyDescent="0.25">
      <c r="A661" t="s">
        <v>837</v>
      </c>
      <c r="B661" t="s">
        <v>39</v>
      </c>
      <c r="C661" s="2">
        <f>HYPERLINK("https://szao.dolgi.msk.ru/account/3470326578/", 3470326578)</f>
        <v>3470326578</v>
      </c>
      <c r="D661" t="s">
        <v>29</v>
      </c>
      <c r="E661">
        <v>34300.019999999997</v>
      </c>
      <c r="AX661">
        <v>4.7</v>
      </c>
      <c r="AY661">
        <v>5.01</v>
      </c>
      <c r="AZ661" t="s">
        <v>69</v>
      </c>
      <c r="BA661" t="s">
        <v>49</v>
      </c>
      <c r="BB661">
        <v>34300.019999999997</v>
      </c>
      <c r="BC661">
        <v>34300.019999999997</v>
      </c>
      <c r="BD661">
        <v>34300.019999999997</v>
      </c>
      <c r="BE661">
        <v>34300.019999999997</v>
      </c>
      <c r="BF661">
        <v>27700.14</v>
      </c>
      <c r="BG661">
        <v>8017.78</v>
      </c>
      <c r="BH661">
        <v>2996.69</v>
      </c>
      <c r="BI661">
        <v>6671.3</v>
      </c>
      <c r="BJ661">
        <v>1909.21</v>
      </c>
      <c r="BK661">
        <v>3746.07</v>
      </c>
      <c r="BL661">
        <v>9402.7999999999993</v>
      </c>
      <c r="BM661">
        <v>1556.17</v>
      </c>
      <c r="BP661" s="3">
        <v>45588</v>
      </c>
      <c r="BQ661">
        <v>230.23</v>
      </c>
      <c r="BR661" s="3">
        <v>45282</v>
      </c>
      <c r="BS661" t="s">
        <v>838</v>
      </c>
    </row>
    <row r="662" spans="1:71" x14ac:dyDescent="0.25">
      <c r="A662" t="s">
        <v>837</v>
      </c>
      <c r="B662" t="s">
        <v>568</v>
      </c>
      <c r="C662" s="2">
        <f>HYPERLINK("https://szao.dolgi.msk.ru/account/3470421794/", 3470421794)</f>
        <v>3470421794</v>
      </c>
      <c r="D662" t="s">
        <v>29</v>
      </c>
      <c r="E662">
        <v>12125.68</v>
      </c>
      <c r="AX662">
        <v>2.08</v>
      </c>
      <c r="AY662">
        <v>1.31</v>
      </c>
      <c r="AZ662" t="s">
        <v>40</v>
      </c>
      <c r="BA662" t="s">
        <v>31</v>
      </c>
      <c r="BB662">
        <v>12125.68</v>
      </c>
      <c r="BC662">
        <v>12125.68</v>
      </c>
      <c r="BD662">
        <v>12125.68</v>
      </c>
      <c r="BE662">
        <v>12125.68</v>
      </c>
      <c r="BF662">
        <v>15299.44</v>
      </c>
      <c r="BG662">
        <v>4250.46</v>
      </c>
      <c r="BH662">
        <v>1660.63</v>
      </c>
      <c r="BI662">
        <v>1686.05</v>
      </c>
      <c r="BJ662">
        <v>411.94</v>
      </c>
      <c r="BK662">
        <v>964.11</v>
      </c>
      <c r="BL662">
        <v>2397.38</v>
      </c>
      <c r="BM662">
        <v>755.11</v>
      </c>
      <c r="BN662">
        <v>12438.69</v>
      </c>
      <c r="BP662" s="3">
        <v>45691</v>
      </c>
      <c r="BQ662">
        <v>12438.69</v>
      </c>
      <c r="BR662" s="3">
        <v>45481</v>
      </c>
      <c r="BS662" t="s">
        <v>839</v>
      </c>
    </row>
    <row r="663" spans="1:71" x14ac:dyDescent="0.25">
      <c r="A663" t="s">
        <v>837</v>
      </c>
      <c r="B663" t="s">
        <v>840</v>
      </c>
      <c r="C663" s="2">
        <f>HYPERLINK("https://szao.dolgi.msk.ru/account/3470326906/", 3470326906)</f>
        <v>3470326906</v>
      </c>
      <c r="D663" t="s">
        <v>29</v>
      </c>
      <c r="E663">
        <v>17508.36</v>
      </c>
      <c r="AX663">
        <v>2.83</v>
      </c>
      <c r="AY663">
        <v>2.86</v>
      </c>
      <c r="AZ663" t="s">
        <v>30</v>
      </c>
      <c r="BA663" t="s">
        <v>31</v>
      </c>
      <c r="BB663">
        <v>17508.36</v>
      </c>
      <c r="BC663">
        <v>17508.36</v>
      </c>
      <c r="BD663">
        <v>17508.36</v>
      </c>
      <c r="BE663">
        <v>17508.36</v>
      </c>
      <c r="BF663">
        <v>11382.23</v>
      </c>
      <c r="BG663">
        <v>6345.07</v>
      </c>
      <c r="BH663">
        <v>358.8</v>
      </c>
      <c r="BI663">
        <v>1486.38</v>
      </c>
      <c r="BJ663">
        <v>418.6</v>
      </c>
      <c r="BK663">
        <v>596.83000000000004</v>
      </c>
      <c r="BL663">
        <v>7101.09</v>
      </c>
      <c r="BM663">
        <v>1201.5899999999999</v>
      </c>
      <c r="BP663" s="3">
        <v>45630</v>
      </c>
      <c r="BQ663">
        <v>15643.04</v>
      </c>
    </row>
    <row r="664" spans="1:71" x14ac:dyDescent="0.25">
      <c r="A664" t="s">
        <v>837</v>
      </c>
      <c r="B664" t="s">
        <v>389</v>
      </c>
      <c r="C664" s="2">
        <f>HYPERLINK("https://szao.dolgi.msk.ru/account/3470326957/", 3470326957)</f>
        <v>3470326957</v>
      </c>
      <c r="D664" t="s">
        <v>29</v>
      </c>
      <c r="E664">
        <v>6186.22</v>
      </c>
      <c r="AX664">
        <v>2.0499999999999998</v>
      </c>
      <c r="AY664">
        <v>1.91</v>
      </c>
      <c r="AZ664" t="s">
        <v>40</v>
      </c>
      <c r="BA664" t="s">
        <v>31</v>
      </c>
      <c r="BB664">
        <v>6186.22</v>
      </c>
      <c r="BC664">
        <v>6186.22</v>
      </c>
      <c r="BD664">
        <v>6186.22</v>
      </c>
      <c r="BE664">
        <v>6186.22</v>
      </c>
      <c r="BF664">
        <v>4873.33</v>
      </c>
      <c r="BG664">
        <v>2750.54</v>
      </c>
      <c r="BH664">
        <v>25.25</v>
      </c>
      <c r="BI664">
        <v>11.39</v>
      </c>
      <c r="BJ664">
        <v>1.62</v>
      </c>
      <c r="BK664">
        <v>21.48</v>
      </c>
      <c r="BL664">
        <v>2878.08</v>
      </c>
      <c r="BM664">
        <v>497.86</v>
      </c>
      <c r="BN664">
        <v>1925.84</v>
      </c>
      <c r="BP664" s="3">
        <v>45698</v>
      </c>
      <c r="BQ664">
        <v>385.17</v>
      </c>
      <c r="BR664" s="3">
        <v>45218</v>
      </c>
      <c r="BS664" t="s">
        <v>841</v>
      </c>
    </row>
    <row r="665" spans="1:71" x14ac:dyDescent="0.25">
      <c r="A665" t="s">
        <v>837</v>
      </c>
      <c r="B665" t="s">
        <v>518</v>
      </c>
      <c r="C665" s="2">
        <f>HYPERLINK("https://szao.dolgi.msk.ru/account/3470327167/", 3470327167)</f>
        <v>3470327167</v>
      </c>
      <c r="D665" t="s">
        <v>29</v>
      </c>
      <c r="E665">
        <v>19702.02</v>
      </c>
      <c r="AX665">
        <v>2.04</v>
      </c>
      <c r="AY665">
        <v>2.15</v>
      </c>
      <c r="AZ665" t="s">
        <v>40</v>
      </c>
      <c r="BA665" t="s">
        <v>31</v>
      </c>
      <c r="BB665">
        <v>19702.02</v>
      </c>
      <c r="BC665">
        <v>19702.02</v>
      </c>
      <c r="BD665">
        <v>19702.02</v>
      </c>
      <c r="BE665">
        <v>19702.02</v>
      </c>
      <c r="BF665">
        <v>28005.45</v>
      </c>
      <c r="BG665">
        <v>4472.18</v>
      </c>
      <c r="BH665">
        <v>3540.34</v>
      </c>
      <c r="BI665">
        <v>2326.81</v>
      </c>
      <c r="BJ665">
        <v>616.47</v>
      </c>
      <c r="BK665">
        <v>3262.27</v>
      </c>
      <c r="BL665">
        <v>4554.6899999999996</v>
      </c>
      <c r="BM665">
        <v>929.26</v>
      </c>
      <c r="BN665">
        <v>8284.6</v>
      </c>
      <c r="BO665">
        <v>9144.4699999999993</v>
      </c>
      <c r="BP665" s="3">
        <v>45694</v>
      </c>
      <c r="BQ665">
        <v>17429.07</v>
      </c>
      <c r="BR665" s="3">
        <v>45670</v>
      </c>
      <c r="BS665" t="s">
        <v>842</v>
      </c>
    </row>
    <row r="666" spans="1:71" x14ac:dyDescent="0.25">
      <c r="A666" t="s">
        <v>837</v>
      </c>
      <c r="B666" t="s">
        <v>461</v>
      </c>
      <c r="C666" s="2">
        <f>HYPERLINK("https://szao.dolgi.msk.ru/account/3470327183/", 3470327183)</f>
        <v>3470327183</v>
      </c>
      <c r="D666" t="s">
        <v>29</v>
      </c>
      <c r="E666">
        <v>48281.36</v>
      </c>
      <c r="AX666">
        <v>4.82</v>
      </c>
      <c r="AY666">
        <v>4.8499999999999996</v>
      </c>
      <c r="AZ666" t="s">
        <v>69</v>
      </c>
      <c r="BA666" t="s">
        <v>49</v>
      </c>
      <c r="BB666">
        <v>48281.36</v>
      </c>
      <c r="BC666">
        <v>48281.36</v>
      </c>
      <c r="BD666">
        <v>48281.36</v>
      </c>
      <c r="BE666">
        <v>48281.36</v>
      </c>
      <c r="BF666">
        <v>38335.24</v>
      </c>
      <c r="BG666">
        <v>6208.11</v>
      </c>
      <c r="BH666">
        <v>6220.7</v>
      </c>
      <c r="BI666">
        <v>15113.3</v>
      </c>
      <c r="BJ666">
        <v>4256.25</v>
      </c>
      <c r="BK666">
        <v>8043.45</v>
      </c>
      <c r="BL666">
        <v>7218.15</v>
      </c>
      <c r="BM666">
        <v>1221.4000000000001</v>
      </c>
      <c r="BP666" s="3">
        <v>45573</v>
      </c>
      <c r="BQ666">
        <v>75819.94</v>
      </c>
      <c r="BR666" s="3">
        <v>45530</v>
      </c>
      <c r="BS666" t="s">
        <v>843</v>
      </c>
    </row>
    <row r="667" spans="1:71" x14ac:dyDescent="0.25">
      <c r="A667" t="s">
        <v>837</v>
      </c>
      <c r="B667" t="s">
        <v>73</v>
      </c>
      <c r="C667" s="2">
        <f>HYPERLINK("https://szao.dolgi.msk.ru/account/3470329023/", 3470329023)</f>
        <v>3470329023</v>
      </c>
      <c r="D667" t="s">
        <v>29</v>
      </c>
      <c r="E667">
        <v>44778.79</v>
      </c>
      <c r="AX667">
        <v>7.55</v>
      </c>
      <c r="AY667">
        <v>7.95</v>
      </c>
      <c r="AZ667" t="s">
        <v>40</v>
      </c>
      <c r="BA667" t="s">
        <v>66</v>
      </c>
      <c r="BB667">
        <v>44778.79</v>
      </c>
      <c r="BC667">
        <v>44778.79</v>
      </c>
      <c r="BD667">
        <v>44778.79</v>
      </c>
      <c r="BE667">
        <v>44778.79</v>
      </c>
      <c r="BF667">
        <v>39144.370000000003</v>
      </c>
      <c r="BG667">
        <v>14038.67</v>
      </c>
      <c r="BH667">
        <v>2817.07</v>
      </c>
      <c r="BI667">
        <v>8360.93</v>
      </c>
      <c r="BJ667">
        <v>2258.15</v>
      </c>
      <c r="BK667">
        <v>3957.87</v>
      </c>
      <c r="BL667">
        <v>11332.84</v>
      </c>
      <c r="BM667">
        <v>2013.26</v>
      </c>
      <c r="BN667">
        <v>5003.3999999999996</v>
      </c>
      <c r="BP667" s="3">
        <v>45670</v>
      </c>
      <c r="BQ667">
        <v>5003.3999999999996</v>
      </c>
      <c r="BR667" s="3">
        <v>45509</v>
      </c>
      <c r="BS667" t="s">
        <v>844</v>
      </c>
    </row>
    <row r="668" spans="1:71" x14ac:dyDescent="0.25">
      <c r="A668" t="s">
        <v>837</v>
      </c>
      <c r="B668" t="s">
        <v>845</v>
      </c>
      <c r="C668" s="2">
        <f>HYPERLINK("https://szao.dolgi.msk.ru/account/3470330526/", 3470330526)</f>
        <v>3470330526</v>
      </c>
      <c r="D668" t="s">
        <v>29</v>
      </c>
      <c r="E668">
        <v>27966.92</v>
      </c>
      <c r="AX668">
        <v>3.95</v>
      </c>
      <c r="AY668">
        <v>4.1100000000000003</v>
      </c>
      <c r="AZ668" t="s">
        <v>40</v>
      </c>
      <c r="BA668" t="s">
        <v>49</v>
      </c>
      <c r="BB668">
        <v>27966.92</v>
      </c>
      <c r="BC668">
        <v>27966.92</v>
      </c>
      <c r="BD668">
        <v>27966.92</v>
      </c>
      <c r="BE668">
        <v>27966.92</v>
      </c>
      <c r="BF668">
        <v>27966.92</v>
      </c>
      <c r="BG668">
        <v>8763.44</v>
      </c>
      <c r="BH668">
        <v>2206.2399999999998</v>
      </c>
      <c r="BI668">
        <v>1770.37</v>
      </c>
      <c r="BJ668">
        <v>498.58</v>
      </c>
      <c r="BK668">
        <v>2076.5700000000002</v>
      </c>
      <c r="BL668">
        <v>10820.72</v>
      </c>
      <c r="BM668">
        <v>1831</v>
      </c>
      <c r="BO668">
        <v>6801.47</v>
      </c>
      <c r="BP668" s="3">
        <v>45695</v>
      </c>
      <c r="BQ668">
        <v>6801.47</v>
      </c>
      <c r="BR668" s="3">
        <v>45510</v>
      </c>
      <c r="BS668" t="s">
        <v>846</v>
      </c>
    </row>
    <row r="669" spans="1:71" x14ac:dyDescent="0.25">
      <c r="A669" t="s">
        <v>847</v>
      </c>
      <c r="B669" t="s">
        <v>52</v>
      </c>
      <c r="C669" s="2">
        <f>HYPERLINK("https://szao.dolgi.msk.ru/account/3470178309/", 3470178309)</f>
        <v>3470178309</v>
      </c>
      <c r="D669" t="s">
        <v>29</v>
      </c>
      <c r="E669">
        <v>87960.81</v>
      </c>
      <c r="AX669">
        <v>12.43</v>
      </c>
      <c r="AY669">
        <v>12.17</v>
      </c>
      <c r="AZ669" t="s">
        <v>56</v>
      </c>
      <c r="BA669" t="s">
        <v>36</v>
      </c>
      <c r="BB669">
        <v>87960.81</v>
      </c>
      <c r="BC669">
        <v>87960.81</v>
      </c>
      <c r="BD669">
        <v>87960.81</v>
      </c>
      <c r="BE669">
        <v>87960.81</v>
      </c>
      <c r="BF669">
        <v>80731.75</v>
      </c>
      <c r="BG669">
        <v>12301.18</v>
      </c>
      <c r="BH669">
        <v>8921.39</v>
      </c>
      <c r="BI669">
        <v>22826.400000000001</v>
      </c>
      <c r="BJ669">
        <v>6249.38</v>
      </c>
      <c r="BK669">
        <v>11762.92</v>
      </c>
      <c r="BL669">
        <v>22447.759999999998</v>
      </c>
      <c r="BM669">
        <v>3451.78</v>
      </c>
      <c r="BP669" s="3">
        <v>45301</v>
      </c>
      <c r="BQ669">
        <v>4666.1099999999997</v>
      </c>
      <c r="BR669" s="3">
        <v>45671</v>
      </c>
      <c r="BS669" t="s">
        <v>848</v>
      </c>
    </row>
    <row r="670" spans="1:71" x14ac:dyDescent="0.25">
      <c r="A670" t="s">
        <v>847</v>
      </c>
      <c r="B670" t="s">
        <v>225</v>
      </c>
      <c r="C670" s="2">
        <f>HYPERLINK("https://szao.dolgi.msk.ru/account/3470178106/", 3470178106)</f>
        <v>3470178106</v>
      </c>
      <c r="D670" t="s">
        <v>29</v>
      </c>
      <c r="E670">
        <v>479568.65</v>
      </c>
      <c r="AX670">
        <v>89.62</v>
      </c>
      <c r="AY670">
        <v>106.22</v>
      </c>
      <c r="AZ670" t="s">
        <v>35</v>
      </c>
      <c r="BA670" t="s">
        <v>36</v>
      </c>
      <c r="BB670">
        <v>479568.65</v>
      </c>
      <c r="BC670">
        <v>479568.65</v>
      </c>
      <c r="BD670">
        <v>479568.65</v>
      </c>
      <c r="BE670">
        <v>479568.65</v>
      </c>
      <c r="BF670">
        <v>479568.65</v>
      </c>
      <c r="BG670">
        <v>41082.71</v>
      </c>
      <c r="BH670">
        <v>34765.120000000003</v>
      </c>
      <c r="BI670">
        <v>201038.32</v>
      </c>
      <c r="BJ670">
        <v>59443.08</v>
      </c>
      <c r="BK670">
        <v>69944.929999999993</v>
      </c>
      <c r="BL670">
        <v>64734.03</v>
      </c>
      <c r="BM670">
        <v>8560.4599999999991</v>
      </c>
      <c r="BO670">
        <v>4514.7700000000004</v>
      </c>
      <c r="BP670" s="3">
        <v>45694</v>
      </c>
      <c r="BQ670">
        <v>4514.7700000000004</v>
      </c>
      <c r="BR670" s="3">
        <v>45672</v>
      </c>
      <c r="BS670" t="s">
        <v>849</v>
      </c>
    </row>
    <row r="671" spans="1:71" x14ac:dyDescent="0.25">
      <c r="A671" t="s">
        <v>847</v>
      </c>
      <c r="B671" t="s">
        <v>352</v>
      </c>
      <c r="C671" s="2">
        <f>HYPERLINK("https://szao.dolgi.msk.ru/account/3470178261/", 3470178261)</f>
        <v>3470178261</v>
      </c>
      <c r="D671" t="s">
        <v>29</v>
      </c>
      <c r="E671">
        <v>13285.02</v>
      </c>
      <c r="AX671">
        <v>2.04</v>
      </c>
      <c r="AY671">
        <v>2.08</v>
      </c>
      <c r="AZ671" t="s">
        <v>35</v>
      </c>
      <c r="BA671" t="s">
        <v>31</v>
      </c>
      <c r="BB671">
        <v>13285.02</v>
      </c>
      <c r="BC671">
        <v>13285.02</v>
      </c>
      <c r="BD671">
        <v>13285.02</v>
      </c>
      <c r="BE671">
        <v>13285.02</v>
      </c>
      <c r="BF671">
        <v>6890.91</v>
      </c>
      <c r="BG671">
        <v>2605.7399999999998</v>
      </c>
      <c r="BH671">
        <v>897</v>
      </c>
      <c r="BI671">
        <v>2760.42</v>
      </c>
      <c r="BJ671">
        <v>777.4</v>
      </c>
      <c r="BK671">
        <v>1285.48</v>
      </c>
      <c r="BL671">
        <v>4322.24</v>
      </c>
      <c r="BM671">
        <v>636.74</v>
      </c>
      <c r="BP671" s="3">
        <v>45667</v>
      </c>
      <c r="BQ671">
        <v>6361.44</v>
      </c>
    </row>
    <row r="672" spans="1:71" x14ac:dyDescent="0.25">
      <c r="A672" t="s">
        <v>850</v>
      </c>
      <c r="B672" t="s">
        <v>139</v>
      </c>
      <c r="C672" s="2">
        <f>HYPERLINK("https://szao.dolgi.msk.ru/account/3470179037/", 3470179037)</f>
        <v>3470179037</v>
      </c>
      <c r="D672" t="s">
        <v>29</v>
      </c>
      <c r="E672">
        <v>63975.040000000001</v>
      </c>
      <c r="AX672">
        <v>6.57</v>
      </c>
      <c r="AY672">
        <v>6.55</v>
      </c>
      <c r="AZ672" t="s">
        <v>30</v>
      </c>
      <c r="BA672" t="s">
        <v>66</v>
      </c>
      <c r="BB672">
        <v>63975.040000000001</v>
      </c>
      <c r="BC672">
        <v>63975.040000000001</v>
      </c>
      <c r="BD672">
        <v>63975.040000000001</v>
      </c>
      <c r="BE672">
        <v>63975.040000000001</v>
      </c>
      <c r="BF672">
        <v>54206.77</v>
      </c>
      <c r="BG672">
        <v>11262.32</v>
      </c>
      <c r="BH672">
        <v>5682.98</v>
      </c>
      <c r="BI672">
        <v>13914.92</v>
      </c>
      <c r="BJ672">
        <v>3888.33</v>
      </c>
      <c r="BK672">
        <v>7368.46</v>
      </c>
      <c r="BL672">
        <v>19054.32</v>
      </c>
      <c r="BM672">
        <v>2803.71</v>
      </c>
      <c r="BP672" s="3">
        <v>45645</v>
      </c>
      <c r="BQ672">
        <v>24740.25</v>
      </c>
      <c r="BR672" s="3">
        <v>45090</v>
      </c>
      <c r="BS672" t="s">
        <v>851</v>
      </c>
    </row>
    <row r="673" spans="1:71" x14ac:dyDescent="0.25">
      <c r="A673" t="s">
        <v>852</v>
      </c>
      <c r="B673" t="s">
        <v>220</v>
      </c>
      <c r="C673" s="2">
        <f>HYPERLINK("https://szao.dolgi.msk.ru/account/3470180492/", 3470180492)</f>
        <v>3470180492</v>
      </c>
      <c r="D673" t="s">
        <v>29</v>
      </c>
      <c r="E673">
        <v>11972.16</v>
      </c>
      <c r="AX673">
        <v>6</v>
      </c>
      <c r="AY673">
        <v>5.43</v>
      </c>
      <c r="AZ673" t="s">
        <v>40</v>
      </c>
      <c r="BA673" t="s">
        <v>66</v>
      </c>
      <c r="BB673">
        <v>11972.16</v>
      </c>
      <c r="BC673">
        <v>11972.16</v>
      </c>
      <c r="BD673">
        <v>11972.16</v>
      </c>
      <c r="BE673">
        <v>11972.16</v>
      </c>
      <c r="BF673">
        <v>11972.16</v>
      </c>
      <c r="BG673">
        <v>7127.52</v>
      </c>
      <c r="BH673">
        <v>293.97000000000003</v>
      </c>
      <c r="BI673">
        <v>0</v>
      </c>
      <c r="BJ673">
        <v>0</v>
      </c>
      <c r="BK673">
        <v>229.7</v>
      </c>
      <c r="BL673">
        <v>3470.32</v>
      </c>
      <c r="BM673">
        <v>850.65</v>
      </c>
      <c r="BO673">
        <v>2206.44</v>
      </c>
      <c r="BP673" s="3">
        <v>45694</v>
      </c>
      <c r="BQ673">
        <v>2206.44</v>
      </c>
      <c r="BR673" s="3">
        <v>45531</v>
      </c>
      <c r="BS673" t="s">
        <v>853</v>
      </c>
    </row>
    <row r="674" spans="1:71" x14ac:dyDescent="0.25">
      <c r="A674" t="s">
        <v>852</v>
      </c>
      <c r="B674" t="s">
        <v>60</v>
      </c>
      <c r="C674" s="2">
        <f>HYPERLINK("https://szao.dolgi.msk.ru/account/3470179125/", 3470179125)</f>
        <v>3470179125</v>
      </c>
      <c r="D674" t="s">
        <v>29</v>
      </c>
      <c r="E674">
        <v>18750.98</v>
      </c>
      <c r="AX674">
        <v>2.77</v>
      </c>
      <c r="AY674">
        <v>2.73</v>
      </c>
      <c r="AZ674" t="s">
        <v>30</v>
      </c>
      <c r="BA674" t="s">
        <v>31</v>
      </c>
      <c r="BB674">
        <v>18750.98</v>
      </c>
      <c r="BC674">
        <v>18750.98</v>
      </c>
      <c r="BD674">
        <v>18750.98</v>
      </c>
      <c r="BE674">
        <v>18750.98</v>
      </c>
      <c r="BF674">
        <v>11875.18</v>
      </c>
      <c r="BG674">
        <v>6623.97</v>
      </c>
      <c r="BH674">
        <v>1255.8</v>
      </c>
      <c r="BI674">
        <v>2123.4</v>
      </c>
      <c r="BJ674">
        <v>598</v>
      </c>
      <c r="BK674">
        <v>1423.21</v>
      </c>
      <c r="BL674">
        <v>5472.18</v>
      </c>
      <c r="BM674">
        <v>1254.42</v>
      </c>
      <c r="BN674">
        <v>11240</v>
      </c>
      <c r="BP674" s="3">
        <v>45673</v>
      </c>
      <c r="BQ674">
        <v>11240</v>
      </c>
      <c r="BR674" s="3">
        <v>45061</v>
      </c>
      <c r="BS674" t="s">
        <v>854</v>
      </c>
    </row>
    <row r="675" spans="1:71" x14ac:dyDescent="0.25">
      <c r="A675" t="s">
        <v>852</v>
      </c>
      <c r="B675" t="s">
        <v>478</v>
      </c>
      <c r="C675" s="2">
        <f>HYPERLINK("https://szao.dolgi.msk.ru/account/3470179598/", 3470179598)</f>
        <v>3470179598</v>
      </c>
      <c r="D675" t="s">
        <v>29</v>
      </c>
      <c r="E675">
        <v>2271.58</v>
      </c>
      <c r="AX675">
        <v>2.31</v>
      </c>
      <c r="AY675">
        <v>0.74</v>
      </c>
      <c r="AZ675" t="s">
        <v>40</v>
      </c>
      <c r="BA675" t="s">
        <v>31</v>
      </c>
      <c r="BB675">
        <v>2271.58</v>
      </c>
      <c r="BC675">
        <v>2271.58</v>
      </c>
      <c r="BD675">
        <v>2550.3200000000002</v>
      </c>
      <c r="BE675">
        <v>2550.3200000000002</v>
      </c>
      <c r="BF675">
        <v>-793.06</v>
      </c>
      <c r="BG675">
        <v>1277.3599999999999</v>
      </c>
      <c r="BH675">
        <v>99.39</v>
      </c>
      <c r="BI675">
        <v>98.15</v>
      </c>
      <c r="BJ675">
        <v>27.64</v>
      </c>
      <c r="BK675">
        <v>-278.74</v>
      </c>
      <c r="BL675">
        <v>852.38</v>
      </c>
      <c r="BM675">
        <v>195.4</v>
      </c>
      <c r="BP675" s="3">
        <v>45653</v>
      </c>
      <c r="BQ675">
        <v>2640.11</v>
      </c>
    </row>
    <row r="676" spans="1:71" x14ac:dyDescent="0.25">
      <c r="A676" t="s">
        <v>855</v>
      </c>
      <c r="B676" t="s">
        <v>106</v>
      </c>
      <c r="C676" s="2">
        <f>HYPERLINK("https://szao.dolgi.msk.ru/account/3470325241/", 3470325241)</f>
        <v>3470325241</v>
      </c>
      <c r="D676" t="s">
        <v>29</v>
      </c>
      <c r="E676">
        <v>27517.81</v>
      </c>
      <c r="AX676">
        <v>3.18</v>
      </c>
      <c r="AY676">
        <v>3.06</v>
      </c>
      <c r="AZ676" t="s">
        <v>40</v>
      </c>
      <c r="BA676" t="s">
        <v>49</v>
      </c>
      <c r="BB676">
        <v>27517.81</v>
      </c>
      <c r="BC676">
        <v>27517.81</v>
      </c>
      <c r="BD676">
        <v>27517.81</v>
      </c>
      <c r="BE676">
        <v>27517.81</v>
      </c>
      <c r="BF676">
        <v>18521.98</v>
      </c>
      <c r="BG676">
        <v>2685.01</v>
      </c>
      <c r="BH676">
        <v>2903.24</v>
      </c>
      <c r="BI676">
        <v>10267.11</v>
      </c>
      <c r="BJ676">
        <v>2740.34</v>
      </c>
      <c r="BK676">
        <v>4728.49</v>
      </c>
      <c r="BL676">
        <v>3436.59</v>
      </c>
      <c r="BM676">
        <v>757.03</v>
      </c>
      <c r="BO676">
        <v>8888.25</v>
      </c>
      <c r="BP676" s="3">
        <v>45679</v>
      </c>
      <c r="BQ676">
        <v>8888.25</v>
      </c>
      <c r="BR676" s="3">
        <v>45201</v>
      </c>
      <c r="BS676" t="s">
        <v>856</v>
      </c>
    </row>
    <row r="677" spans="1:71" x14ac:dyDescent="0.25">
      <c r="A677" t="s">
        <v>855</v>
      </c>
      <c r="B677" t="s">
        <v>473</v>
      </c>
      <c r="C677" s="2">
        <f>HYPERLINK("https://szao.dolgi.msk.ru/account/3470325305/", 3470325305)</f>
        <v>3470325305</v>
      </c>
      <c r="D677" t="s">
        <v>29</v>
      </c>
      <c r="E677">
        <v>196524</v>
      </c>
      <c r="AX677">
        <v>60.14</v>
      </c>
      <c r="AY677">
        <v>54.92</v>
      </c>
      <c r="AZ677" t="s">
        <v>69</v>
      </c>
      <c r="BA677" t="s">
        <v>36</v>
      </c>
      <c r="BB677">
        <v>196524</v>
      </c>
      <c r="BC677">
        <v>196524</v>
      </c>
      <c r="BD677">
        <v>200758.64</v>
      </c>
      <c r="BE677">
        <v>200758.64</v>
      </c>
      <c r="BF677">
        <v>192945.82</v>
      </c>
      <c r="BG677">
        <v>54644.25</v>
      </c>
      <c r="BH677">
        <v>14452.93</v>
      </c>
      <c r="BI677">
        <v>41690.300000000003</v>
      </c>
      <c r="BJ677">
        <v>10786.31</v>
      </c>
      <c r="BK677">
        <v>-4234.6400000000003</v>
      </c>
      <c r="BL677">
        <v>66505.710000000006</v>
      </c>
      <c r="BM677">
        <v>12679.14</v>
      </c>
      <c r="BP677" s="3">
        <v>45596</v>
      </c>
      <c r="BQ677">
        <v>0</v>
      </c>
      <c r="BR677" s="3">
        <v>45477</v>
      </c>
      <c r="BS677" t="s">
        <v>857</v>
      </c>
    </row>
    <row r="678" spans="1:71" x14ac:dyDescent="0.25">
      <c r="A678" t="s">
        <v>855</v>
      </c>
      <c r="B678" t="s">
        <v>376</v>
      </c>
      <c r="C678" s="2">
        <f>HYPERLINK("https://szao.dolgi.msk.ru/account/3470181444/", 3470181444)</f>
        <v>3470181444</v>
      </c>
      <c r="D678" t="s">
        <v>29</v>
      </c>
      <c r="E678">
        <v>19554.66</v>
      </c>
      <c r="AX678">
        <v>2.8</v>
      </c>
      <c r="AY678">
        <v>2.81</v>
      </c>
      <c r="AZ678" t="s">
        <v>40</v>
      </c>
      <c r="BA678" t="s">
        <v>31</v>
      </c>
      <c r="BB678">
        <v>19554.66</v>
      </c>
      <c r="BC678">
        <v>19554.66</v>
      </c>
      <c r="BD678">
        <v>19554.66</v>
      </c>
      <c r="BE678">
        <v>19554.66</v>
      </c>
      <c r="BF678">
        <v>12606.84</v>
      </c>
      <c r="BG678">
        <v>5540.34</v>
      </c>
      <c r="BH678">
        <v>1079.03</v>
      </c>
      <c r="BI678">
        <v>2841.3</v>
      </c>
      <c r="BJ678">
        <v>800.18</v>
      </c>
      <c r="BK678">
        <v>1442.72</v>
      </c>
      <c r="BL678">
        <v>6433.83</v>
      </c>
      <c r="BM678">
        <v>1417.26</v>
      </c>
      <c r="BP678" s="3">
        <v>45614</v>
      </c>
      <c r="BQ678">
        <v>6832.43</v>
      </c>
      <c r="BR678" s="3">
        <v>45215</v>
      </c>
      <c r="BS678" t="s">
        <v>858</v>
      </c>
    </row>
    <row r="679" spans="1:71" x14ac:dyDescent="0.25">
      <c r="A679" t="s">
        <v>855</v>
      </c>
      <c r="B679" t="s">
        <v>354</v>
      </c>
      <c r="C679" s="2">
        <f>HYPERLINK("https://szao.dolgi.msk.ru/account/3470325399/", 3470325399)</f>
        <v>3470325399</v>
      </c>
      <c r="D679" t="s">
        <v>29</v>
      </c>
      <c r="E679">
        <v>245684.87</v>
      </c>
      <c r="AX679">
        <v>14.67</v>
      </c>
      <c r="AY679">
        <v>11.75</v>
      </c>
      <c r="AZ679" t="s">
        <v>56</v>
      </c>
      <c r="BA679" t="s">
        <v>36</v>
      </c>
      <c r="BB679">
        <v>245684.87</v>
      </c>
      <c r="BC679">
        <v>245684.87</v>
      </c>
      <c r="BD679">
        <v>245684.87</v>
      </c>
      <c r="BE679">
        <v>245684.87</v>
      </c>
      <c r="BF679">
        <v>224771.17</v>
      </c>
      <c r="BG679">
        <v>32628.53</v>
      </c>
      <c r="BH679">
        <v>80031.05</v>
      </c>
      <c r="BI679">
        <v>33215.339999999997</v>
      </c>
      <c r="BJ679">
        <v>12698.72</v>
      </c>
      <c r="BK679">
        <v>39955.57</v>
      </c>
      <c r="BL679">
        <v>39724.68</v>
      </c>
      <c r="BM679">
        <v>7430.98</v>
      </c>
      <c r="BP679" s="3">
        <v>45288</v>
      </c>
      <c r="BQ679">
        <v>0</v>
      </c>
      <c r="BR679" s="3">
        <v>45141</v>
      </c>
      <c r="BS679" t="s">
        <v>859</v>
      </c>
    </row>
    <row r="680" spans="1:71" x14ac:dyDescent="0.25">
      <c r="A680" t="s">
        <v>855</v>
      </c>
      <c r="B680" t="s">
        <v>483</v>
      </c>
      <c r="C680" s="2">
        <f>HYPERLINK("https://szao.dolgi.msk.ru/account/3470325401/", 3470325401)</f>
        <v>3470325401</v>
      </c>
      <c r="D680" t="s">
        <v>29</v>
      </c>
      <c r="E680">
        <v>39735.33</v>
      </c>
      <c r="AX680">
        <v>5.37</v>
      </c>
      <c r="AY680">
        <v>5.35</v>
      </c>
      <c r="AZ680" t="s">
        <v>69</v>
      </c>
      <c r="BA680" t="s">
        <v>49</v>
      </c>
      <c r="BB680">
        <v>39735.33</v>
      </c>
      <c r="BC680">
        <v>38309.64</v>
      </c>
      <c r="BD680">
        <v>39735.33</v>
      </c>
      <c r="BE680">
        <v>38309.64</v>
      </c>
      <c r="BF680">
        <v>32312.97</v>
      </c>
      <c r="BG680">
        <v>11939.19</v>
      </c>
      <c r="BH680">
        <v>1009.13</v>
      </c>
      <c r="BI680">
        <v>5515.92</v>
      </c>
      <c r="BJ680">
        <v>1553.41</v>
      </c>
      <c r="BK680">
        <v>1967.34</v>
      </c>
      <c r="BL680">
        <v>14546.1</v>
      </c>
      <c r="BM680">
        <v>3204.24</v>
      </c>
      <c r="BP680" s="3">
        <v>45552</v>
      </c>
      <c r="BQ680">
        <v>59286.3</v>
      </c>
      <c r="BR680" s="3">
        <v>45530</v>
      </c>
      <c r="BS680" t="s">
        <v>860</v>
      </c>
    </row>
    <row r="681" spans="1:71" x14ac:dyDescent="0.25">
      <c r="A681" t="s">
        <v>861</v>
      </c>
      <c r="B681" t="s">
        <v>309</v>
      </c>
      <c r="C681" s="2">
        <f>HYPERLINK("https://szao.dolgi.msk.ru/account/3470181938/", 3470181938)</f>
        <v>3470181938</v>
      </c>
      <c r="D681" t="s">
        <v>29</v>
      </c>
      <c r="E681">
        <v>8650.25</v>
      </c>
      <c r="AX681">
        <v>2.36</v>
      </c>
      <c r="AY681">
        <v>1.87</v>
      </c>
      <c r="AZ681" t="s">
        <v>40</v>
      </c>
      <c r="BA681" t="s">
        <v>31</v>
      </c>
      <c r="BB681">
        <v>8650.25</v>
      </c>
      <c r="BC681">
        <v>8650.25</v>
      </c>
      <c r="BD681">
        <v>8650.25</v>
      </c>
      <c r="BE681">
        <v>8650.25</v>
      </c>
      <c r="BF681">
        <v>4020.44</v>
      </c>
      <c r="BG681">
        <v>3588.25</v>
      </c>
      <c r="BH681">
        <v>0</v>
      </c>
      <c r="BI681">
        <v>0</v>
      </c>
      <c r="BJ681">
        <v>0</v>
      </c>
      <c r="BK681">
        <v>0</v>
      </c>
      <c r="BL681">
        <v>4277.08</v>
      </c>
      <c r="BM681">
        <v>784.92</v>
      </c>
      <c r="BP681" s="3">
        <v>45653</v>
      </c>
      <c r="BQ681">
        <v>4020.44</v>
      </c>
    </row>
    <row r="682" spans="1:71" x14ac:dyDescent="0.25">
      <c r="A682" t="s">
        <v>861</v>
      </c>
      <c r="B682" t="s">
        <v>223</v>
      </c>
      <c r="C682" s="2">
        <f>HYPERLINK("https://szao.dolgi.msk.ru/account/3470324951/", 3470324951)</f>
        <v>3470324951</v>
      </c>
      <c r="D682" t="s">
        <v>29</v>
      </c>
      <c r="E682">
        <v>74262.47</v>
      </c>
      <c r="AX682">
        <v>19.190000000000001</v>
      </c>
      <c r="AY682">
        <v>20.04</v>
      </c>
      <c r="AZ682" t="s">
        <v>45</v>
      </c>
      <c r="BA682" t="s">
        <v>36</v>
      </c>
      <c r="BB682">
        <v>74262.47</v>
      </c>
      <c r="BC682">
        <v>74262.47</v>
      </c>
      <c r="BD682">
        <v>74262.47</v>
      </c>
      <c r="BE682">
        <v>74262.47</v>
      </c>
      <c r="BF682">
        <v>70556.259999999995</v>
      </c>
      <c r="BG682">
        <v>5092.1400000000003</v>
      </c>
      <c r="BH682">
        <v>8207.33</v>
      </c>
      <c r="BI682">
        <v>31642.46</v>
      </c>
      <c r="BJ682">
        <v>7837.48</v>
      </c>
      <c r="BK682">
        <v>12927.39</v>
      </c>
      <c r="BL682">
        <v>7181.1</v>
      </c>
      <c r="BM682">
        <v>1374.57</v>
      </c>
      <c r="BP682" s="3">
        <v>45391</v>
      </c>
      <c r="BQ682">
        <v>3770.92</v>
      </c>
      <c r="BR682" s="3">
        <v>45530</v>
      </c>
      <c r="BS682" t="s">
        <v>862</v>
      </c>
    </row>
    <row r="683" spans="1:71" x14ac:dyDescent="0.25">
      <c r="A683" t="s">
        <v>861</v>
      </c>
      <c r="B683" t="s">
        <v>105</v>
      </c>
      <c r="C683" s="2">
        <f>HYPERLINK("https://szao.dolgi.msk.ru/account/3470325014/", 3470325014)</f>
        <v>3470325014</v>
      </c>
      <c r="D683" t="s">
        <v>29</v>
      </c>
      <c r="E683">
        <v>20922.349999999999</v>
      </c>
      <c r="AX683">
        <v>11.24</v>
      </c>
      <c r="AY683">
        <v>13.26</v>
      </c>
      <c r="AZ683" t="s">
        <v>40</v>
      </c>
      <c r="BA683" t="s">
        <v>63</v>
      </c>
      <c r="BB683">
        <v>20922.349999999999</v>
      </c>
      <c r="BC683">
        <v>20922.349999999999</v>
      </c>
      <c r="BD683">
        <v>20922.349999999999</v>
      </c>
      <c r="BE683">
        <v>20922.349999999999</v>
      </c>
      <c r="BF683">
        <v>19420.259999999998</v>
      </c>
      <c r="BG683">
        <v>3335.43</v>
      </c>
      <c r="BH683">
        <v>2541.9299999999998</v>
      </c>
      <c r="BI683">
        <v>5873.62</v>
      </c>
      <c r="BJ683">
        <v>1661.12</v>
      </c>
      <c r="BK683">
        <v>3300.38</v>
      </c>
      <c r="BL683">
        <v>3303.3</v>
      </c>
      <c r="BM683">
        <v>906.57</v>
      </c>
      <c r="BO683">
        <v>1578.18</v>
      </c>
      <c r="BP683" s="3">
        <v>45677</v>
      </c>
      <c r="BQ683">
        <v>1578.18</v>
      </c>
    </row>
    <row r="684" spans="1:71" x14ac:dyDescent="0.25">
      <c r="A684" t="s">
        <v>863</v>
      </c>
      <c r="B684" t="s">
        <v>152</v>
      </c>
      <c r="C684" s="2">
        <f>HYPERLINK("https://szao.dolgi.msk.ru/account/3470338421/", 3470338421)</f>
        <v>3470338421</v>
      </c>
      <c r="D684" t="s">
        <v>29</v>
      </c>
      <c r="E684">
        <v>93528.94</v>
      </c>
      <c r="AX684">
        <v>14.41</v>
      </c>
      <c r="AY684">
        <v>10.8</v>
      </c>
      <c r="AZ684" t="s">
        <v>45</v>
      </c>
      <c r="BA684" t="s">
        <v>36</v>
      </c>
      <c r="BB684">
        <v>93528.94</v>
      </c>
      <c r="BC684">
        <v>93528.94</v>
      </c>
      <c r="BD684">
        <v>93528.94</v>
      </c>
      <c r="BE684">
        <v>93528.94</v>
      </c>
      <c r="BF684">
        <v>84867.96</v>
      </c>
      <c r="BG684">
        <v>16470.52</v>
      </c>
      <c r="BH684">
        <v>5885.91</v>
      </c>
      <c r="BI684">
        <v>28693.45</v>
      </c>
      <c r="BJ684">
        <v>7382.74</v>
      </c>
      <c r="BK684">
        <v>10338.459999999999</v>
      </c>
      <c r="BL684">
        <v>20588.8</v>
      </c>
      <c r="BM684">
        <v>4169.0600000000004</v>
      </c>
      <c r="BP684" s="3">
        <v>45574</v>
      </c>
      <c r="BQ684">
        <v>13727.67</v>
      </c>
      <c r="BR684" s="3">
        <v>45626</v>
      </c>
      <c r="BS684" t="s">
        <v>864</v>
      </c>
    </row>
    <row r="685" spans="1:71" x14ac:dyDescent="0.25">
      <c r="A685" t="s">
        <v>863</v>
      </c>
      <c r="B685" t="s">
        <v>100</v>
      </c>
      <c r="C685" s="2">
        <f>HYPERLINK("https://szao.dolgi.msk.ru/account/3470338499/", 3470338499)</f>
        <v>3470338499</v>
      </c>
      <c r="D685" t="s">
        <v>29</v>
      </c>
      <c r="E685">
        <v>11728.81</v>
      </c>
      <c r="AX685">
        <v>2.25</v>
      </c>
      <c r="AY685">
        <v>2.38</v>
      </c>
      <c r="AZ685" t="s">
        <v>40</v>
      </c>
      <c r="BA685" t="s">
        <v>31</v>
      </c>
      <c r="BB685">
        <v>11728.81</v>
      </c>
      <c r="BC685">
        <v>11728.81</v>
      </c>
      <c r="BD685">
        <v>11728.81</v>
      </c>
      <c r="BE685">
        <v>11728.81</v>
      </c>
      <c r="BF685">
        <v>6793.81</v>
      </c>
      <c r="BG685">
        <v>3122.36</v>
      </c>
      <c r="BH685">
        <v>727.56</v>
      </c>
      <c r="BI685">
        <v>2760.43</v>
      </c>
      <c r="BJ685">
        <v>777.4</v>
      </c>
      <c r="BK685">
        <v>1155.4000000000001</v>
      </c>
      <c r="BL685">
        <v>2620.8000000000002</v>
      </c>
      <c r="BM685">
        <v>564.86</v>
      </c>
      <c r="BP685" s="3">
        <v>45617</v>
      </c>
      <c r="BQ685">
        <v>3763.01</v>
      </c>
    </row>
    <row r="686" spans="1:71" x14ac:dyDescent="0.25">
      <c r="A686" t="s">
        <v>863</v>
      </c>
      <c r="B686" t="s">
        <v>87</v>
      </c>
      <c r="C686" s="2">
        <f>HYPERLINK("https://szao.dolgi.msk.ru/account/3470338843/", 3470338843)</f>
        <v>3470338843</v>
      </c>
      <c r="D686" t="s">
        <v>29</v>
      </c>
      <c r="E686">
        <v>162122.45000000001</v>
      </c>
      <c r="AX686">
        <v>45.12</v>
      </c>
      <c r="AY686">
        <v>45.28</v>
      </c>
      <c r="AZ686" t="s">
        <v>56</v>
      </c>
      <c r="BA686" t="s">
        <v>36</v>
      </c>
      <c r="BB686">
        <v>162122.45000000001</v>
      </c>
      <c r="BC686">
        <v>162122.45000000001</v>
      </c>
      <c r="BD686">
        <v>162122.45000000001</v>
      </c>
      <c r="BE686">
        <v>162122.45000000001</v>
      </c>
      <c r="BF686">
        <v>158542.39000000001</v>
      </c>
      <c r="BG686">
        <v>48091.93</v>
      </c>
      <c r="BH686">
        <v>10406.709999999999</v>
      </c>
      <c r="BI686">
        <v>26627.87</v>
      </c>
      <c r="BJ686">
        <v>8010.58</v>
      </c>
      <c r="BK686">
        <v>14651.05</v>
      </c>
      <c r="BL686">
        <v>45397.79</v>
      </c>
      <c r="BM686">
        <v>8936.52</v>
      </c>
      <c r="BP686" s="3">
        <v>45300</v>
      </c>
      <c r="BQ686">
        <v>65.83</v>
      </c>
      <c r="BR686" s="3">
        <v>45495</v>
      </c>
      <c r="BS686" t="s">
        <v>865</v>
      </c>
    </row>
    <row r="687" spans="1:71" x14ac:dyDescent="0.25">
      <c r="A687" t="s">
        <v>863</v>
      </c>
      <c r="B687" t="s">
        <v>755</v>
      </c>
      <c r="C687" s="2">
        <f>HYPERLINK("https://szao.dolgi.msk.ru/account/3470339475/", 3470339475)</f>
        <v>3470339475</v>
      </c>
      <c r="D687" t="s">
        <v>29</v>
      </c>
      <c r="E687">
        <v>23635.42</v>
      </c>
      <c r="AX687">
        <v>4.5999999999999996</v>
      </c>
      <c r="AY687">
        <v>4.5</v>
      </c>
      <c r="AZ687" t="s">
        <v>40</v>
      </c>
      <c r="BA687" t="s">
        <v>49</v>
      </c>
      <c r="BB687">
        <v>23635.42</v>
      </c>
      <c r="BC687">
        <v>23635.42</v>
      </c>
      <c r="BD687">
        <v>23635.42</v>
      </c>
      <c r="BE687">
        <v>23635.42</v>
      </c>
      <c r="BF687">
        <v>18387.919999999998</v>
      </c>
      <c r="BG687">
        <v>6621</v>
      </c>
      <c r="BH687">
        <v>1794.94</v>
      </c>
      <c r="BI687">
        <v>4488.34</v>
      </c>
      <c r="BJ687">
        <v>1228.81</v>
      </c>
      <c r="BK687">
        <v>2344.92</v>
      </c>
      <c r="BL687">
        <v>5854.76</v>
      </c>
      <c r="BM687">
        <v>1302.6500000000001</v>
      </c>
      <c r="BP687" s="3">
        <v>45639</v>
      </c>
      <c r="BQ687">
        <v>7549.64</v>
      </c>
    </row>
    <row r="688" spans="1:71" x14ac:dyDescent="0.25">
      <c r="A688" t="s">
        <v>863</v>
      </c>
      <c r="B688" t="s">
        <v>60</v>
      </c>
      <c r="C688" s="2">
        <f>HYPERLINK("https://szao.dolgi.msk.ru/account/3470339563/", 3470339563)</f>
        <v>3470339563</v>
      </c>
      <c r="D688" t="s">
        <v>29</v>
      </c>
      <c r="E688">
        <v>50198.3</v>
      </c>
      <c r="AX688">
        <v>8.9600000000000009</v>
      </c>
      <c r="AY688">
        <v>8.8699999999999992</v>
      </c>
      <c r="AZ688" t="s">
        <v>56</v>
      </c>
      <c r="BA688" t="s">
        <v>66</v>
      </c>
      <c r="BB688">
        <v>50198.3</v>
      </c>
      <c r="BC688">
        <v>50198.3</v>
      </c>
      <c r="BD688">
        <v>50198.3</v>
      </c>
      <c r="BE688">
        <v>50198.3</v>
      </c>
      <c r="BF688">
        <v>44537.24</v>
      </c>
      <c r="BG688">
        <v>24336.97</v>
      </c>
      <c r="BH688">
        <v>0</v>
      </c>
      <c r="BI688">
        <v>0</v>
      </c>
      <c r="BJ688">
        <v>0</v>
      </c>
      <c r="BK688">
        <v>0</v>
      </c>
      <c r="BL688">
        <v>21115.59</v>
      </c>
      <c r="BM688">
        <v>4745.74</v>
      </c>
      <c r="BP688" s="3">
        <v>45160</v>
      </c>
      <c r="BQ688">
        <v>32273.43</v>
      </c>
      <c r="BR688" s="3">
        <v>45699</v>
      </c>
      <c r="BS688" t="s">
        <v>866</v>
      </c>
    </row>
    <row r="689" spans="1:71" x14ac:dyDescent="0.25">
      <c r="A689" t="s">
        <v>863</v>
      </c>
      <c r="B689" t="s">
        <v>582</v>
      </c>
      <c r="C689" s="2">
        <f>HYPERLINK("https://szao.dolgi.msk.ru/account/3470339758/", 3470339758)</f>
        <v>3470339758</v>
      </c>
      <c r="D689" t="s">
        <v>29</v>
      </c>
      <c r="E689">
        <v>63715.34</v>
      </c>
      <c r="AX689">
        <v>10.01</v>
      </c>
      <c r="AY689">
        <v>10.07</v>
      </c>
      <c r="AZ689" t="s">
        <v>45</v>
      </c>
      <c r="BA689" t="s">
        <v>63</v>
      </c>
      <c r="BB689">
        <v>63715.34</v>
      </c>
      <c r="BC689">
        <v>63715.34</v>
      </c>
      <c r="BD689">
        <v>63715.34</v>
      </c>
      <c r="BE689">
        <v>63715.34</v>
      </c>
      <c r="BF689">
        <v>57385.03</v>
      </c>
      <c r="BG689">
        <v>26366.74</v>
      </c>
      <c r="BH689">
        <v>1412.88</v>
      </c>
      <c r="BI689">
        <v>3695.76</v>
      </c>
      <c r="BJ689">
        <v>1007.51</v>
      </c>
      <c r="BK689">
        <v>1881.15</v>
      </c>
      <c r="BL689">
        <v>24004.03</v>
      </c>
      <c r="BM689">
        <v>5347.27</v>
      </c>
      <c r="BP689" s="3">
        <v>45366</v>
      </c>
      <c r="BQ689">
        <v>61506.33</v>
      </c>
      <c r="BR689" s="3">
        <v>45638</v>
      </c>
      <c r="BS689" t="s">
        <v>867</v>
      </c>
    </row>
    <row r="690" spans="1:71" x14ac:dyDescent="0.25">
      <c r="A690" t="s">
        <v>868</v>
      </c>
      <c r="B690" t="s">
        <v>28</v>
      </c>
      <c r="C690" s="2">
        <f>HYPERLINK("https://szao.dolgi.msk.ru/account/3470436881/", 3470436881)</f>
        <v>3470436881</v>
      </c>
      <c r="D690" t="s">
        <v>29</v>
      </c>
      <c r="E690">
        <v>64244.54</v>
      </c>
      <c r="AX690">
        <v>11.55</v>
      </c>
      <c r="AY690">
        <v>10.18</v>
      </c>
      <c r="AZ690" t="s">
        <v>40</v>
      </c>
      <c r="BA690" t="s">
        <v>63</v>
      </c>
      <c r="BB690">
        <v>64244.54</v>
      </c>
      <c r="BC690">
        <v>64244.54</v>
      </c>
      <c r="BD690">
        <v>64244.54</v>
      </c>
      <c r="BE690">
        <v>64244.54</v>
      </c>
      <c r="BF690">
        <v>57933.9</v>
      </c>
      <c r="BG690">
        <v>16710.900000000001</v>
      </c>
      <c r="BH690">
        <v>1839.44</v>
      </c>
      <c r="BI690">
        <v>7810.5</v>
      </c>
      <c r="BJ690">
        <v>10631.17</v>
      </c>
      <c r="BK690">
        <v>4195.59</v>
      </c>
      <c r="BL690">
        <v>15542.22</v>
      </c>
      <c r="BM690">
        <v>7514.72</v>
      </c>
      <c r="BN690">
        <v>23377.41</v>
      </c>
      <c r="BP690" s="3">
        <v>45684</v>
      </c>
      <c r="BQ690">
        <v>23377.41</v>
      </c>
      <c r="BR690" s="3">
        <v>45637</v>
      </c>
      <c r="BS690" t="s">
        <v>869</v>
      </c>
    </row>
    <row r="691" spans="1:71" x14ac:dyDescent="0.25">
      <c r="A691" t="s">
        <v>868</v>
      </c>
      <c r="B691" t="s">
        <v>34</v>
      </c>
      <c r="C691" s="2">
        <f>HYPERLINK("https://szao.dolgi.msk.ru/account/3470436363/", 3470436363)</f>
        <v>3470436363</v>
      </c>
      <c r="D691" t="s">
        <v>29</v>
      </c>
      <c r="E691">
        <v>87585.03</v>
      </c>
      <c r="AX691">
        <v>46.28</v>
      </c>
      <c r="AY691">
        <v>45.15</v>
      </c>
      <c r="AZ691" t="s">
        <v>56</v>
      </c>
      <c r="BA691" t="s">
        <v>36</v>
      </c>
      <c r="BB691">
        <v>87585.03</v>
      </c>
      <c r="BC691">
        <v>87585.03</v>
      </c>
      <c r="BD691">
        <v>87585.03</v>
      </c>
      <c r="BE691">
        <v>87585.03</v>
      </c>
      <c r="BF691">
        <v>85645.08</v>
      </c>
      <c r="BG691">
        <v>14712.51</v>
      </c>
      <c r="BH691">
        <v>5218.75</v>
      </c>
      <c r="BI691">
        <v>6626.14</v>
      </c>
      <c r="BJ691">
        <v>2886.33</v>
      </c>
      <c r="BK691">
        <v>4732.51</v>
      </c>
      <c r="BL691">
        <v>47418.02</v>
      </c>
      <c r="BM691">
        <v>5990.77</v>
      </c>
      <c r="BP691" s="3">
        <v>45596</v>
      </c>
      <c r="BQ691">
        <v>0</v>
      </c>
      <c r="BR691" s="3">
        <v>45531</v>
      </c>
      <c r="BS691" t="s">
        <v>870</v>
      </c>
    </row>
    <row r="692" spans="1:71" x14ac:dyDescent="0.25">
      <c r="A692" t="s">
        <v>868</v>
      </c>
      <c r="B692" t="s">
        <v>80</v>
      </c>
      <c r="C692" s="2">
        <f>HYPERLINK("https://szao.dolgi.msk.ru/account/3470436734/", 3470436734)</f>
        <v>3470436734</v>
      </c>
      <c r="D692" t="s">
        <v>29</v>
      </c>
      <c r="E692">
        <v>3013.24</v>
      </c>
      <c r="AX692">
        <v>2.6</v>
      </c>
      <c r="AY692">
        <v>1.92</v>
      </c>
      <c r="AZ692" t="s">
        <v>40</v>
      </c>
      <c r="BA692" t="s">
        <v>31</v>
      </c>
      <c r="BB692">
        <v>3013.24</v>
      </c>
      <c r="BC692">
        <v>3013.24</v>
      </c>
      <c r="BD692">
        <v>3013.24</v>
      </c>
      <c r="BE692">
        <v>3013.24</v>
      </c>
      <c r="BF692">
        <v>1445.99</v>
      </c>
      <c r="BG692">
        <v>714.88</v>
      </c>
      <c r="BH692">
        <v>0</v>
      </c>
      <c r="BI692">
        <v>0</v>
      </c>
      <c r="BJ692">
        <v>0</v>
      </c>
      <c r="BK692">
        <v>0</v>
      </c>
      <c r="BL692">
        <v>1997.84</v>
      </c>
      <c r="BM692">
        <v>300.52</v>
      </c>
      <c r="BP692" s="3">
        <v>45653</v>
      </c>
      <c r="BQ692">
        <v>1445.99</v>
      </c>
    </row>
    <row r="693" spans="1:71" x14ac:dyDescent="0.25">
      <c r="A693" t="s">
        <v>871</v>
      </c>
      <c r="B693" t="s">
        <v>481</v>
      </c>
      <c r="C693" s="2">
        <f>HYPERLINK("https://szao.dolgi.msk.ru/account/3470323596/", 3470323596)</f>
        <v>3470323596</v>
      </c>
      <c r="D693" t="s">
        <v>29</v>
      </c>
      <c r="E693">
        <v>100314.17</v>
      </c>
      <c r="AX693">
        <v>37.07</v>
      </c>
      <c r="AY693">
        <v>37.380000000000003</v>
      </c>
      <c r="AZ693" t="s">
        <v>56</v>
      </c>
      <c r="BA693" t="s">
        <v>36</v>
      </c>
      <c r="BB693">
        <v>100314.17</v>
      </c>
      <c r="BC693">
        <v>100314.17</v>
      </c>
      <c r="BD693">
        <v>100314.17</v>
      </c>
      <c r="BE693">
        <v>100314.17</v>
      </c>
      <c r="BF693">
        <v>97630.6</v>
      </c>
      <c r="BG693">
        <v>22820.85</v>
      </c>
      <c r="BH693">
        <v>7144.42</v>
      </c>
      <c r="BI693">
        <v>17972.5</v>
      </c>
      <c r="BJ693">
        <v>4737.97</v>
      </c>
      <c r="BK693">
        <v>9042.11</v>
      </c>
      <c r="BL693">
        <v>33415.99</v>
      </c>
      <c r="BM693">
        <v>5180.33</v>
      </c>
      <c r="BP693" s="3">
        <v>45626</v>
      </c>
      <c r="BQ693">
        <v>0</v>
      </c>
      <c r="BR693" s="3">
        <v>45632</v>
      </c>
      <c r="BS693" t="s">
        <v>872</v>
      </c>
    </row>
    <row r="694" spans="1:71" x14ac:dyDescent="0.25">
      <c r="A694" t="s">
        <v>871</v>
      </c>
      <c r="B694" t="s">
        <v>223</v>
      </c>
      <c r="C694" s="2">
        <f>HYPERLINK("https://szao.dolgi.msk.ru/account/3470184514/", 3470184514)</f>
        <v>3470184514</v>
      </c>
      <c r="D694" t="s">
        <v>29</v>
      </c>
      <c r="E694">
        <v>420641.95</v>
      </c>
      <c r="AX694">
        <v>48.25</v>
      </c>
      <c r="AY694">
        <v>40.64</v>
      </c>
      <c r="AZ694" t="s">
        <v>56</v>
      </c>
      <c r="BA694" t="s">
        <v>36</v>
      </c>
      <c r="BB694">
        <v>420641.95</v>
      </c>
      <c r="BC694">
        <v>420641.95</v>
      </c>
      <c r="BD694">
        <v>420641.95</v>
      </c>
      <c r="BE694">
        <v>420641.95</v>
      </c>
      <c r="BF694">
        <v>410292.17</v>
      </c>
      <c r="BG694">
        <v>151108.82</v>
      </c>
      <c r="BH694">
        <v>15346.57</v>
      </c>
      <c r="BI694">
        <v>34498.33</v>
      </c>
      <c r="BJ694">
        <v>16717.009999999998</v>
      </c>
      <c r="BK694">
        <v>16417.3</v>
      </c>
      <c r="BL694">
        <v>160124.07999999999</v>
      </c>
      <c r="BM694">
        <v>26429.84</v>
      </c>
      <c r="BP694" s="3">
        <v>45596</v>
      </c>
      <c r="BQ694">
        <v>0</v>
      </c>
      <c r="BR694" s="3">
        <v>45355</v>
      </c>
      <c r="BS694" t="s">
        <v>873</v>
      </c>
    </row>
    <row r="695" spans="1:71" x14ac:dyDescent="0.25">
      <c r="A695" t="s">
        <v>871</v>
      </c>
      <c r="B695" t="s">
        <v>103</v>
      </c>
      <c r="C695" s="2">
        <f>HYPERLINK("https://szao.dolgi.msk.ru/account/3470416223/", 3470416223)</f>
        <v>3470416223</v>
      </c>
      <c r="D695" t="s">
        <v>29</v>
      </c>
      <c r="E695">
        <v>80625.14</v>
      </c>
      <c r="AX695">
        <v>24.46</v>
      </c>
      <c r="AY695">
        <v>14.42</v>
      </c>
      <c r="AZ695" t="s">
        <v>35</v>
      </c>
      <c r="BA695" t="s">
        <v>36</v>
      </c>
      <c r="BB695">
        <v>80625.14</v>
      </c>
      <c r="BC695">
        <v>80625.14</v>
      </c>
      <c r="BD695">
        <v>80625.14</v>
      </c>
      <c r="BE695">
        <v>80625.14</v>
      </c>
      <c r="BF695">
        <v>75307.759999999995</v>
      </c>
      <c r="BG695">
        <v>13364.3</v>
      </c>
      <c r="BH695">
        <v>6685.96</v>
      </c>
      <c r="BI695">
        <v>29561.8</v>
      </c>
      <c r="BJ695">
        <v>7740.15</v>
      </c>
      <c r="BK695">
        <v>1487.26</v>
      </c>
      <c r="BL695">
        <v>19598.41</v>
      </c>
      <c r="BM695">
        <v>2187.2600000000002</v>
      </c>
      <c r="BO695">
        <v>5589.7</v>
      </c>
      <c r="BP695" s="3">
        <v>45685</v>
      </c>
      <c r="BQ695">
        <v>5589.7</v>
      </c>
      <c r="BR695" s="3">
        <v>45530</v>
      </c>
      <c r="BS695" t="s">
        <v>874</v>
      </c>
    </row>
    <row r="696" spans="1:71" x14ac:dyDescent="0.25">
      <c r="A696" t="s">
        <v>875</v>
      </c>
      <c r="B696" t="s">
        <v>34</v>
      </c>
      <c r="C696" s="2">
        <f>HYPERLINK("https://szao.dolgi.msk.ru/account/3470185429/", 3470185429)</f>
        <v>3470185429</v>
      </c>
      <c r="D696" t="s">
        <v>29</v>
      </c>
      <c r="E696">
        <v>14379.2</v>
      </c>
      <c r="AX696">
        <v>11.08</v>
      </c>
      <c r="AY696">
        <v>3.4</v>
      </c>
      <c r="AZ696" t="s">
        <v>69</v>
      </c>
      <c r="BA696" t="s">
        <v>63</v>
      </c>
      <c r="BB696">
        <v>14379.2</v>
      </c>
      <c r="BC696">
        <v>14379.2</v>
      </c>
      <c r="BD696">
        <v>20947.12</v>
      </c>
      <c r="BE696">
        <v>20947.12</v>
      </c>
      <c r="BF696">
        <v>10155.11</v>
      </c>
      <c r="BG696">
        <v>-6567.92</v>
      </c>
      <c r="BH696">
        <v>3543.86</v>
      </c>
      <c r="BI696">
        <v>6045.32</v>
      </c>
      <c r="BJ696">
        <v>4486.7299999999996</v>
      </c>
      <c r="BK696">
        <v>3217.4</v>
      </c>
      <c r="BL696">
        <v>2243.6</v>
      </c>
      <c r="BM696">
        <v>1410.21</v>
      </c>
      <c r="BP696" s="3">
        <v>45596</v>
      </c>
      <c r="BQ696">
        <v>0</v>
      </c>
      <c r="BR696" s="3">
        <v>45159</v>
      </c>
      <c r="BS696" t="s">
        <v>876</v>
      </c>
    </row>
    <row r="697" spans="1:71" x14ac:dyDescent="0.25">
      <c r="A697" t="s">
        <v>875</v>
      </c>
      <c r="B697" t="s">
        <v>34</v>
      </c>
      <c r="C697" s="2">
        <f>HYPERLINK("https://szao.dolgi.msk.ru/account/3470484736/", 3470484736)</f>
        <v>3470484736</v>
      </c>
      <c r="D697" t="s">
        <v>29</v>
      </c>
      <c r="E697">
        <v>103348.61</v>
      </c>
      <c r="AX697">
        <v>25.17</v>
      </c>
      <c r="AY697">
        <v>26.07</v>
      </c>
      <c r="AZ697" t="s">
        <v>56</v>
      </c>
      <c r="BA697" t="s">
        <v>36</v>
      </c>
      <c r="BB697">
        <v>103348.61</v>
      </c>
      <c r="BC697">
        <v>103348.61</v>
      </c>
      <c r="BD697">
        <v>103348.61</v>
      </c>
      <c r="BE697">
        <v>103348.61</v>
      </c>
      <c r="BF697">
        <v>103869.44</v>
      </c>
      <c r="BG697">
        <v>12182.12</v>
      </c>
      <c r="BH697">
        <v>11525.73</v>
      </c>
      <c r="BI697">
        <v>31421.55</v>
      </c>
      <c r="BJ697">
        <v>8454.77</v>
      </c>
      <c r="BK697">
        <v>15481.29</v>
      </c>
      <c r="BL697">
        <v>21077.77</v>
      </c>
      <c r="BM697">
        <v>3205.38</v>
      </c>
      <c r="BP697" s="3">
        <v>45334</v>
      </c>
      <c r="BQ697">
        <v>0</v>
      </c>
      <c r="BR697" s="3">
        <v>45530</v>
      </c>
      <c r="BS697" t="s">
        <v>877</v>
      </c>
    </row>
    <row r="698" spans="1:71" x14ac:dyDescent="0.25">
      <c r="A698" t="s">
        <v>875</v>
      </c>
      <c r="B698" t="s">
        <v>34</v>
      </c>
      <c r="C698" s="2">
        <f>HYPERLINK("https://szao.dolgi.msk.ru/account/3470484744/", 3470484744)</f>
        <v>3470484744</v>
      </c>
      <c r="D698" t="s">
        <v>29</v>
      </c>
      <c r="E698">
        <v>34718.67</v>
      </c>
      <c r="AX698">
        <v>32.74</v>
      </c>
      <c r="AY698">
        <v>40.340000000000003</v>
      </c>
      <c r="AZ698" t="s">
        <v>56</v>
      </c>
      <c r="BA698" t="s">
        <v>36</v>
      </c>
      <c r="BB698">
        <v>34718.67</v>
      </c>
      <c r="BC698">
        <v>34718.67</v>
      </c>
      <c r="BD698">
        <v>34718.67</v>
      </c>
      <c r="BE698">
        <v>34718.67</v>
      </c>
      <c r="BF698">
        <v>33857.94</v>
      </c>
      <c r="BG698">
        <v>4601.45</v>
      </c>
      <c r="BH698">
        <v>4114.18</v>
      </c>
      <c r="BI698">
        <v>8414.01</v>
      </c>
      <c r="BJ698">
        <v>3017.82</v>
      </c>
      <c r="BK698">
        <v>5573.39</v>
      </c>
      <c r="BL698">
        <v>7842.4</v>
      </c>
      <c r="BM698">
        <v>1155.42</v>
      </c>
      <c r="BP698" s="3">
        <v>45132</v>
      </c>
      <c r="BQ698">
        <v>828.12</v>
      </c>
      <c r="BR698" s="3">
        <v>45159</v>
      </c>
      <c r="BS698" t="s">
        <v>878</v>
      </c>
    </row>
    <row r="699" spans="1:71" x14ac:dyDescent="0.25">
      <c r="A699" t="s">
        <v>875</v>
      </c>
      <c r="B699" t="s">
        <v>136</v>
      </c>
      <c r="C699" s="2">
        <f>HYPERLINK("https://szao.dolgi.msk.ru/account/3470185939/", 3470185939)</f>
        <v>3470185939</v>
      </c>
      <c r="D699" t="s">
        <v>29</v>
      </c>
      <c r="E699">
        <v>15452.93</v>
      </c>
      <c r="AX699">
        <v>2.1800000000000002</v>
      </c>
      <c r="AY699">
        <v>2.5299999999999998</v>
      </c>
      <c r="AZ699" t="s">
        <v>30</v>
      </c>
      <c r="BA699" t="s">
        <v>31</v>
      </c>
      <c r="BB699">
        <v>15452.93</v>
      </c>
      <c r="BC699">
        <v>15452.93</v>
      </c>
      <c r="BD699">
        <v>15452.93</v>
      </c>
      <c r="BE699">
        <v>15452.93</v>
      </c>
      <c r="BF699">
        <v>9341.64</v>
      </c>
      <c r="BG699">
        <v>1311.51</v>
      </c>
      <c r="BH699">
        <v>2125.0100000000002</v>
      </c>
      <c r="BI699">
        <v>5162.72</v>
      </c>
      <c r="BJ699">
        <v>1453.95</v>
      </c>
      <c r="BK699">
        <v>2747.64</v>
      </c>
      <c r="BL699">
        <v>2325.09</v>
      </c>
      <c r="BM699">
        <v>327.01</v>
      </c>
      <c r="BN699">
        <v>12546.57</v>
      </c>
      <c r="BO699">
        <v>6111.29</v>
      </c>
      <c r="BP699" s="3">
        <v>45680</v>
      </c>
      <c r="BQ699">
        <v>9806.0300000000007</v>
      </c>
    </row>
    <row r="700" spans="1:71" x14ac:dyDescent="0.25">
      <c r="A700" t="s">
        <v>875</v>
      </c>
      <c r="B700" t="s">
        <v>225</v>
      </c>
      <c r="C700" s="2">
        <f>HYPERLINK("https://szao.dolgi.msk.ru/account/3470185613/", 3470185613)</f>
        <v>3470185613</v>
      </c>
      <c r="D700" t="s">
        <v>29</v>
      </c>
      <c r="E700">
        <v>145797.76999999999</v>
      </c>
      <c r="AX700">
        <v>40.67</v>
      </c>
      <c r="AY700">
        <v>33.409999999999997</v>
      </c>
      <c r="AZ700" t="s">
        <v>40</v>
      </c>
      <c r="BA700" t="s">
        <v>36</v>
      </c>
      <c r="BB700">
        <v>145797.76999999999</v>
      </c>
      <c r="BC700">
        <v>145797.76999999999</v>
      </c>
      <c r="BD700">
        <v>145797.76999999999</v>
      </c>
      <c r="BE700">
        <v>145797.76999999999</v>
      </c>
      <c r="BF700">
        <v>145797.76999999999</v>
      </c>
      <c r="BG700">
        <v>37719.1</v>
      </c>
      <c r="BH700">
        <v>15854.21</v>
      </c>
      <c r="BI700">
        <v>14729.52</v>
      </c>
      <c r="BJ700">
        <v>17385.830000000002</v>
      </c>
      <c r="BK700">
        <v>21232.14</v>
      </c>
      <c r="BL700">
        <v>30181.61</v>
      </c>
      <c r="BM700">
        <v>8695.36</v>
      </c>
      <c r="BO700">
        <v>4363.75</v>
      </c>
      <c r="BP700" s="3">
        <v>45692</v>
      </c>
      <c r="BQ700">
        <v>4363.75</v>
      </c>
      <c r="BR700" s="3">
        <v>45469</v>
      </c>
      <c r="BS700" t="s">
        <v>879</v>
      </c>
    </row>
    <row r="701" spans="1:71" x14ac:dyDescent="0.25">
      <c r="A701" t="s">
        <v>875</v>
      </c>
      <c r="B701" t="s">
        <v>293</v>
      </c>
      <c r="C701" s="2">
        <f>HYPERLINK("https://szao.dolgi.msk.ru/account/3470185728/", 3470185728)</f>
        <v>3470185728</v>
      </c>
      <c r="D701" t="s">
        <v>29</v>
      </c>
      <c r="E701">
        <v>10060.700000000001</v>
      </c>
      <c r="AX701">
        <v>2.34</v>
      </c>
      <c r="AY701">
        <v>2.13</v>
      </c>
      <c r="AZ701" t="s">
        <v>40</v>
      </c>
      <c r="BA701" t="s">
        <v>31</v>
      </c>
      <c r="BB701">
        <v>10060.700000000001</v>
      </c>
      <c r="BC701">
        <v>10060.700000000001</v>
      </c>
      <c r="BD701">
        <v>10060.700000000001</v>
      </c>
      <c r="BE701">
        <v>10060.700000000001</v>
      </c>
      <c r="BF701">
        <v>5334.33</v>
      </c>
      <c r="BG701">
        <v>3191.61</v>
      </c>
      <c r="BH701">
        <v>299</v>
      </c>
      <c r="BI701">
        <v>889.58</v>
      </c>
      <c r="BJ701">
        <v>256.94</v>
      </c>
      <c r="BK701">
        <v>377.5</v>
      </c>
      <c r="BL701">
        <v>4341.8500000000004</v>
      </c>
      <c r="BM701">
        <v>704.22</v>
      </c>
      <c r="BN701">
        <v>3692.72</v>
      </c>
      <c r="BP701" s="3">
        <v>45685</v>
      </c>
      <c r="BQ701">
        <v>3692.72</v>
      </c>
    </row>
    <row r="702" spans="1:71" x14ac:dyDescent="0.25">
      <c r="A702" t="s">
        <v>875</v>
      </c>
      <c r="B702" t="s">
        <v>352</v>
      </c>
      <c r="C702" s="2">
        <f>HYPERLINK("https://szao.dolgi.msk.ru/account/3470185779/", 3470185779)</f>
        <v>3470185779</v>
      </c>
      <c r="D702" t="s">
        <v>29</v>
      </c>
      <c r="E702">
        <v>20201.89</v>
      </c>
      <c r="AX702">
        <v>2.91</v>
      </c>
      <c r="AY702">
        <v>2.94</v>
      </c>
      <c r="AZ702" t="s">
        <v>30</v>
      </c>
      <c r="BA702" t="s">
        <v>31</v>
      </c>
      <c r="BB702">
        <v>20201.89</v>
      </c>
      <c r="BC702">
        <v>20201.89</v>
      </c>
      <c r="BD702">
        <v>20201.89</v>
      </c>
      <c r="BE702">
        <v>20201.89</v>
      </c>
      <c r="BF702">
        <v>13329.56</v>
      </c>
      <c r="BG702">
        <v>3885.47</v>
      </c>
      <c r="BH702">
        <v>1664.05</v>
      </c>
      <c r="BI702">
        <v>4175.08</v>
      </c>
      <c r="BJ702">
        <v>1175.81</v>
      </c>
      <c r="BK702">
        <v>2180.23</v>
      </c>
      <c r="BL702">
        <v>6243.15</v>
      </c>
      <c r="BM702">
        <v>878.1</v>
      </c>
      <c r="BP702" s="3">
        <v>45629</v>
      </c>
      <c r="BQ702">
        <v>26193.88</v>
      </c>
    </row>
    <row r="703" spans="1:71" x14ac:dyDescent="0.25">
      <c r="A703" t="s">
        <v>875</v>
      </c>
      <c r="B703" t="s">
        <v>247</v>
      </c>
      <c r="C703" s="2">
        <f>HYPERLINK("https://szao.dolgi.msk.ru/account/3470185795/", 3470185795)</f>
        <v>3470185795</v>
      </c>
      <c r="D703" t="s">
        <v>29</v>
      </c>
      <c r="E703">
        <v>257981.7</v>
      </c>
      <c r="AX703">
        <v>30.58</v>
      </c>
      <c r="AY703">
        <v>26.21</v>
      </c>
      <c r="AZ703" t="s">
        <v>56</v>
      </c>
      <c r="BA703" t="s">
        <v>36</v>
      </c>
      <c r="BB703">
        <v>257981.7</v>
      </c>
      <c r="BC703">
        <v>257981.7</v>
      </c>
      <c r="BD703">
        <v>257981.7</v>
      </c>
      <c r="BE703">
        <v>257981.7</v>
      </c>
      <c r="BF703">
        <v>248137.52</v>
      </c>
      <c r="BG703">
        <v>42101.74</v>
      </c>
      <c r="BH703">
        <v>23430.35</v>
      </c>
      <c r="BI703">
        <v>79043.100000000006</v>
      </c>
      <c r="BJ703">
        <v>22723.91</v>
      </c>
      <c r="BK703">
        <v>12287.9</v>
      </c>
      <c r="BL703">
        <v>69863.520000000004</v>
      </c>
      <c r="BM703">
        <v>8531.18</v>
      </c>
      <c r="BP703" s="3">
        <v>45596</v>
      </c>
      <c r="BQ703">
        <v>0</v>
      </c>
      <c r="BR703" s="3">
        <v>45671</v>
      </c>
      <c r="BS703" t="s">
        <v>880</v>
      </c>
    </row>
    <row r="704" spans="1:71" x14ac:dyDescent="0.25">
      <c r="A704" t="s">
        <v>875</v>
      </c>
      <c r="B704" t="s">
        <v>354</v>
      </c>
      <c r="C704" s="2">
        <f>HYPERLINK("https://szao.dolgi.msk.ru/account/3470185955/", 3470185955)</f>
        <v>3470185955</v>
      </c>
      <c r="D704" t="s">
        <v>29</v>
      </c>
      <c r="E704">
        <v>24810.76</v>
      </c>
      <c r="AX704">
        <v>8.67</v>
      </c>
      <c r="AY704">
        <v>8.01</v>
      </c>
      <c r="AZ704" t="s">
        <v>35</v>
      </c>
      <c r="BA704" t="s">
        <v>66</v>
      </c>
      <c r="BB704">
        <v>24810.76</v>
      </c>
      <c r="BC704">
        <v>24810.76</v>
      </c>
      <c r="BD704">
        <v>24810.76</v>
      </c>
      <c r="BE704">
        <v>24810.76</v>
      </c>
      <c r="BF704">
        <v>21712.94</v>
      </c>
      <c r="BG704">
        <v>4645.42</v>
      </c>
      <c r="BH704">
        <v>1904.69</v>
      </c>
      <c r="BI704">
        <v>4989.57</v>
      </c>
      <c r="BJ704">
        <v>1303.2</v>
      </c>
      <c r="BK704">
        <v>2480.37</v>
      </c>
      <c r="BL704">
        <v>8336.24</v>
      </c>
      <c r="BM704">
        <v>1151.27</v>
      </c>
      <c r="BO704">
        <v>3097.82</v>
      </c>
      <c r="BP704" s="3">
        <v>45679</v>
      </c>
      <c r="BQ704">
        <v>3097.82</v>
      </c>
      <c r="BR704" s="3">
        <v>45271</v>
      </c>
      <c r="BS704" t="s">
        <v>881</v>
      </c>
    </row>
    <row r="705" spans="1:71" x14ac:dyDescent="0.25">
      <c r="A705" t="s">
        <v>875</v>
      </c>
      <c r="B705" t="s">
        <v>90</v>
      </c>
      <c r="C705" s="2">
        <f>HYPERLINK("https://szao.dolgi.msk.ru/account/3470185963/", 3470185963)</f>
        <v>3470185963</v>
      </c>
      <c r="D705" t="s">
        <v>29</v>
      </c>
      <c r="E705">
        <v>25327.33</v>
      </c>
      <c r="AX705">
        <v>10.27</v>
      </c>
      <c r="AY705">
        <v>5.38</v>
      </c>
      <c r="AZ705" t="s">
        <v>35</v>
      </c>
      <c r="BA705" t="s">
        <v>63</v>
      </c>
      <c r="BB705">
        <v>25327.33</v>
      </c>
      <c r="BC705">
        <v>25327.33</v>
      </c>
      <c r="BD705">
        <v>25327.33</v>
      </c>
      <c r="BE705">
        <v>25327.33</v>
      </c>
      <c r="BF705">
        <v>25327.33</v>
      </c>
      <c r="BG705">
        <v>4010.05</v>
      </c>
      <c r="BH705">
        <v>1751.78</v>
      </c>
      <c r="BI705">
        <v>5176.71</v>
      </c>
      <c r="BJ705">
        <v>3893.34</v>
      </c>
      <c r="BK705">
        <v>359.63</v>
      </c>
      <c r="BL705">
        <v>8064.6</v>
      </c>
      <c r="BM705">
        <v>2071.2199999999998</v>
      </c>
      <c r="BO705">
        <v>4704.47</v>
      </c>
      <c r="BP705" s="3">
        <v>45693</v>
      </c>
      <c r="BQ705">
        <v>4704.47</v>
      </c>
      <c r="BR705" s="3">
        <v>45082</v>
      </c>
      <c r="BS705" t="s">
        <v>882</v>
      </c>
    </row>
    <row r="706" spans="1:71" x14ac:dyDescent="0.25">
      <c r="A706" t="s">
        <v>875</v>
      </c>
      <c r="B706" t="s">
        <v>129</v>
      </c>
      <c r="C706" s="2">
        <f>HYPERLINK("https://szao.dolgi.msk.ru/account/3470185971/", 3470185971)</f>
        <v>3470185971</v>
      </c>
      <c r="D706" t="s">
        <v>29</v>
      </c>
      <c r="E706">
        <v>55907.05</v>
      </c>
      <c r="AX706">
        <v>11.69</v>
      </c>
      <c r="AY706">
        <v>11.3</v>
      </c>
      <c r="AZ706" t="s">
        <v>69</v>
      </c>
      <c r="BA706" t="s">
        <v>63</v>
      </c>
      <c r="BB706">
        <v>55907.05</v>
      </c>
      <c r="BC706">
        <v>55907.05</v>
      </c>
      <c r="BD706">
        <v>55907.05</v>
      </c>
      <c r="BE706">
        <v>55907.05</v>
      </c>
      <c r="BF706">
        <v>50960.46</v>
      </c>
      <c r="BG706">
        <v>7229.64</v>
      </c>
      <c r="BH706">
        <v>6271.47</v>
      </c>
      <c r="BI706">
        <v>15707</v>
      </c>
      <c r="BJ706">
        <v>4290.96</v>
      </c>
      <c r="BK706">
        <v>8208.1</v>
      </c>
      <c r="BL706">
        <v>12352.38</v>
      </c>
      <c r="BM706">
        <v>1847.5</v>
      </c>
      <c r="BP706" s="3">
        <v>45533</v>
      </c>
      <c r="BQ706">
        <v>4456.91</v>
      </c>
      <c r="BR706" s="3">
        <v>45233</v>
      </c>
      <c r="BS706" t="s">
        <v>883</v>
      </c>
    </row>
    <row r="707" spans="1:71" x14ac:dyDescent="0.25">
      <c r="A707" t="s">
        <v>875</v>
      </c>
      <c r="B707" t="s">
        <v>124</v>
      </c>
      <c r="C707" s="2">
        <f>HYPERLINK("https://szao.dolgi.msk.ru/account/3470186093/", 3470186093)</f>
        <v>3470186093</v>
      </c>
      <c r="D707" t="s">
        <v>29</v>
      </c>
      <c r="E707">
        <v>57179.5</v>
      </c>
      <c r="AX707">
        <v>11.45</v>
      </c>
      <c r="AY707">
        <v>9.42</v>
      </c>
      <c r="AZ707" t="s">
        <v>40</v>
      </c>
      <c r="BA707" t="s">
        <v>63</v>
      </c>
      <c r="BB707">
        <v>57179.5</v>
      </c>
      <c r="BC707">
        <v>57179.5</v>
      </c>
      <c r="BD707">
        <v>57179.5</v>
      </c>
      <c r="BE707">
        <v>57179.5</v>
      </c>
      <c r="BF707">
        <v>51109.99</v>
      </c>
      <c r="BG707">
        <v>9645.24</v>
      </c>
      <c r="BH707">
        <v>6448.82</v>
      </c>
      <c r="BI707">
        <v>15371.21</v>
      </c>
      <c r="BJ707">
        <v>4109.28</v>
      </c>
      <c r="BK707">
        <v>1899.43</v>
      </c>
      <c r="BL707">
        <v>17205.71</v>
      </c>
      <c r="BM707">
        <v>2499.81</v>
      </c>
      <c r="BP707" s="3">
        <v>45650</v>
      </c>
      <c r="BQ707">
        <v>41787.65</v>
      </c>
      <c r="BR707" s="3">
        <v>45355</v>
      </c>
      <c r="BS707" t="s">
        <v>884</v>
      </c>
    </row>
    <row r="708" spans="1:71" x14ac:dyDescent="0.25">
      <c r="A708" t="s">
        <v>875</v>
      </c>
      <c r="B708" t="s">
        <v>443</v>
      </c>
      <c r="C708" s="2">
        <f>HYPERLINK("https://szao.dolgi.msk.ru/account/3470186384/", 3470186384)</f>
        <v>3470186384</v>
      </c>
      <c r="D708" t="s">
        <v>29</v>
      </c>
      <c r="E708">
        <v>14651.42</v>
      </c>
      <c r="AX708">
        <v>5.43</v>
      </c>
      <c r="AY708">
        <v>5.41</v>
      </c>
      <c r="AZ708" t="s">
        <v>69</v>
      </c>
      <c r="BA708" t="s">
        <v>49</v>
      </c>
      <c r="BB708">
        <v>14651.42</v>
      </c>
      <c r="BC708">
        <v>14651.42</v>
      </c>
      <c r="BD708">
        <v>14651.42</v>
      </c>
      <c r="BE708">
        <v>14651.42</v>
      </c>
      <c r="BF708">
        <v>11943.65</v>
      </c>
      <c r="BG708">
        <v>5903.37</v>
      </c>
      <c r="BH708">
        <v>625.14</v>
      </c>
      <c r="BI708">
        <v>1311.48</v>
      </c>
      <c r="BJ708">
        <v>370.94</v>
      </c>
      <c r="BK708">
        <v>764.85</v>
      </c>
      <c r="BL708">
        <v>4975.8</v>
      </c>
      <c r="BM708">
        <v>699.84</v>
      </c>
      <c r="BP708" s="3">
        <v>45554</v>
      </c>
      <c r="BQ708">
        <v>7706.4</v>
      </c>
      <c r="BR708" s="3">
        <v>45531</v>
      </c>
      <c r="BS708" t="s">
        <v>885</v>
      </c>
    </row>
    <row r="709" spans="1:71" x14ac:dyDescent="0.25">
      <c r="A709" t="s">
        <v>875</v>
      </c>
      <c r="B709" t="s">
        <v>428</v>
      </c>
      <c r="C709" s="2">
        <f>HYPERLINK("https://szao.dolgi.msk.ru/account/3470185197/", 3470185197)</f>
        <v>3470185197</v>
      </c>
      <c r="D709" t="s">
        <v>29</v>
      </c>
      <c r="E709">
        <v>327430.49</v>
      </c>
      <c r="AX709">
        <v>34.68</v>
      </c>
      <c r="AY709">
        <v>34.21</v>
      </c>
      <c r="AZ709" t="s">
        <v>56</v>
      </c>
      <c r="BA709" t="s">
        <v>36</v>
      </c>
      <c r="BB709">
        <v>327430.49</v>
      </c>
      <c r="BC709">
        <v>327430.49</v>
      </c>
      <c r="BD709">
        <v>327430.49</v>
      </c>
      <c r="BE709">
        <v>327430.49</v>
      </c>
      <c r="BF709">
        <v>317858.09999999998</v>
      </c>
      <c r="BG709">
        <v>57940.29</v>
      </c>
      <c r="BH709">
        <v>29198.44</v>
      </c>
      <c r="BI709">
        <v>68996.3</v>
      </c>
      <c r="BJ709">
        <v>19642</v>
      </c>
      <c r="BK709">
        <v>36554.14</v>
      </c>
      <c r="BL709">
        <v>101087.92</v>
      </c>
      <c r="BM709">
        <v>14011.4</v>
      </c>
      <c r="BP709" s="3">
        <v>45596</v>
      </c>
      <c r="BQ709">
        <v>0</v>
      </c>
      <c r="BR709" s="3">
        <v>45355</v>
      </c>
      <c r="BS709" t="s">
        <v>886</v>
      </c>
    </row>
    <row r="710" spans="1:71" x14ac:dyDescent="0.25">
      <c r="A710" t="s">
        <v>887</v>
      </c>
      <c r="B710" t="s">
        <v>48</v>
      </c>
      <c r="C710" s="2">
        <f>HYPERLINK("https://szao.dolgi.msk.ru/account/3470187707/", 3470187707)</f>
        <v>3470187707</v>
      </c>
      <c r="D710" t="s">
        <v>29</v>
      </c>
      <c r="E710">
        <v>60936.12</v>
      </c>
      <c r="AX710">
        <v>11.94</v>
      </c>
      <c r="AY710">
        <v>8.14</v>
      </c>
      <c r="AZ710" t="s">
        <v>40</v>
      </c>
      <c r="BA710" t="s">
        <v>63</v>
      </c>
      <c r="BB710">
        <v>60936.12</v>
      </c>
      <c r="BC710">
        <v>60936.12</v>
      </c>
      <c r="BD710">
        <v>60936.12</v>
      </c>
      <c r="BE710">
        <v>60936.12</v>
      </c>
      <c r="BF710">
        <v>57042.2</v>
      </c>
      <c r="BG710">
        <v>4698.13</v>
      </c>
      <c r="BH710">
        <v>9348.93</v>
      </c>
      <c r="BI710">
        <v>21503.17</v>
      </c>
      <c r="BJ710">
        <v>5026.8599999999997</v>
      </c>
      <c r="BK710">
        <v>12563.36</v>
      </c>
      <c r="BL710">
        <v>5161.88</v>
      </c>
      <c r="BM710">
        <v>2633.79</v>
      </c>
      <c r="BN710">
        <v>3592</v>
      </c>
      <c r="BP710" s="3">
        <v>45693</v>
      </c>
      <c r="BQ710">
        <v>3592</v>
      </c>
      <c r="BR710" s="3">
        <v>45583</v>
      </c>
      <c r="BS710" t="s">
        <v>888</v>
      </c>
    </row>
    <row r="711" spans="1:71" x14ac:dyDescent="0.25">
      <c r="A711" t="s">
        <v>887</v>
      </c>
      <c r="B711" t="s">
        <v>173</v>
      </c>
      <c r="C711" s="2">
        <f>HYPERLINK("https://szao.dolgi.msk.ru/account/3470607978/", 3470607978)</f>
        <v>3470607978</v>
      </c>
      <c r="D711" t="s">
        <v>29</v>
      </c>
      <c r="E711">
        <v>9435.3799999999992</v>
      </c>
      <c r="AX711">
        <v>2</v>
      </c>
      <c r="AY711">
        <v>2.5099999999999998</v>
      </c>
      <c r="AZ711" t="s">
        <v>40</v>
      </c>
      <c r="BA711" t="s">
        <v>31</v>
      </c>
      <c r="BB711">
        <v>9435.3799999999992</v>
      </c>
      <c r="BC711">
        <v>9435.3799999999992</v>
      </c>
      <c r="BD711">
        <v>9435.3799999999992</v>
      </c>
      <c r="BE711">
        <v>9435.3799999999992</v>
      </c>
      <c r="BF711">
        <v>39621.550000000003</v>
      </c>
      <c r="BG711">
        <v>1327.16</v>
      </c>
      <c r="BH711">
        <v>1204.01</v>
      </c>
      <c r="BI711">
        <v>2925.15</v>
      </c>
      <c r="BJ711">
        <v>823.79</v>
      </c>
      <c r="BK711">
        <v>1556.79</v>
      </c>
      <c r="BL711">
        <v>1321.19</v>
      </c>
      <c r="BM711">
        <v>277.29000000000002</v>
      </c>
      <c r="BO711">
        <v>3760.66</v>
      </c>
      <c r="BP711" s="3">
        <v>45680</v>
      </c>
      <c r="BQ711">
        <v>3760.66</v>
      </c>
    </row>
    <row r="712" spans="1:71" x14ac:dyDescent="0.25">
      <c r="A712" t="s">
        <v>887</v>
      </c>
      <c r="B712" t="s">
        <v>478</v>
      </c>
      <c r="C712" s="2">
        <f>HYPERLINK("https://szao.dolgi.msk.ru/account/3470186982/", 3470186982)</f>
        <v>3470186982</v>
      </c>
      <c r="D712" t="s">
        <v>29</v>
      </c>
      <c r="E712">
        <v>59508.52</v>
      </c>
      <c r="AX712">
        <v>10.57</v>
      </c>
      <c r="AY712">
        <v>9.5</v>
      </c>
      <c r="AZ712" t="s">
        <v>40</v>
      </c>
      <c r="BA712" t="s">
        <v>63</v>
      </c>
      <c r="BB712">
        <v>59508.52</v>
      </c>
      <c r="BC712">
        <v>59508.52</v>
      </c>
      <c r="BD712">
        <v>62397.51</v>
      </c>
      <c r="BE712">
        <v>62397.51</v>
      </c>
      <c r="BF712">
        <v>59160.41</v>
      </c>
      <c r="BG712">
        <v>-2888.99</v>
      </c>
      <c r="BH712">
        <v>3351.04</v>
      </c>
      <c r="BI712">
        <v>22586.87</v>
      </c>
      <c r="BJ712">
        <v>5194.97</v>
      </c>
      <c r="BK712">
        <v>12823.49</v>
      </c>
      <c r="BL712">
        <v>12054.88</v>
      </c>
      <c r="BM712">
        <v>6386.26</v>
      </c>
      <c r="BN712">
        <v>1804.22</v>
      </c>
      <c r="BO712">
        <v>4113.96</v>
      </c>
      <c r="BP712" s="3">
        <v>45698</v>
      </c>
      <c r="BQ712">
        <v>5918.18</v>
      </c>
      <c r="BR712" s="3">
        <v>45650</v>
      </c>
      <c r="BS712" t="s">
        <v>889</v>
      </c>
    </row>
    <row r="713" spans="1:71" x14ac:dyDescent="0.25">
      <c r="A713" t="s">
        <v>887</v>
      </c>
      <c r="B713" t="s">
        <v>112</v>
      </c>
      <c r="C713" s="2">
        <f>HYPERLINK("https://szao.dolgi.msk.ru/account/3470187109/", 3470187109)</f>
        <v>3470187109</v>
      </c>
      <c r="D713" t="s">
        <v>29</v>
      </c>
      <c r="E713">
        <v>29386.92</v>
      </c>
      <c r="AX713">
        <v>3.68</v>
      </c>
      <c r="AY713">
        <v>3.67</v>
      </c>
      <c r="AZ713" t="s">
        <v>40</v>
      </c>
      <c r="BA713" t="s">
        <v>49</v>
      </c>
      <c r="BB713">
        <v>29386.92</v>
      </c>
      <c r="BC713">
        <v>29386.92</v>
      </c>
      <c r="BD713">
        <v>29386.92</v>
      </c>
      <c r="BE713">
        <v>29386.92</v>
      </c>
      <c r="BF713">
        <v>21388.03</v>
      </c>
      <c r="BG713">
        <v>10713.46</v>
      </c>
      <c r="BH713">
        <v>2054.2800000000002</v>
      </c>
      <c r="BI713">
        <v>4029.57</v>
      </c>
      <c r="BJ713">
        <v>1134.83</v>
      </c>
      <c r="BK713">
        <v>2448.34</v>
      </c>
      <c r="BL713">
        <v>6928.96</v>
      </c>
      <c r="BM713">
        <v>2077.48</v>
      </c>
      <c r="BP713" s="3">
        <v>45623</v>
      </c>
      <c r="BQ713">
        <v>5961.31</v>
      </c>
    </row>
    <row r="714" spans="1:71" x14ac:dyDescent="0.25">
      <c r="A714" t="s">
        <v>887</v>
      </c>
      <c r="B714" t="s">
        <v>890</v>
      </c>
      <c r="C714" s="2">
        <f>HYPERLINK("https://szao.dolgi.msk.ru/account/3470187328/", 3470187328)</f>
        <v>3470187328</v>
      </c>
      <c r="D714" t="s">
        <v>29</v>
      </c>
      <c r="E714">
        <v>16834.580000000002</v>
      </c>
      <c r="AX714">
        <v>3.8</v>
      </c>
      <c r="AY714">
        <v>3.73</v>
      </c>
      <c r="AZ714" t="s">
        <v>69</v>
      </c>
      <c r="BA714" t="s">
        <v>49</v>
      </c>
      <c r="BB714">
        <v>16834.580000000002</v>
      </c>
      <c r="BC714">
        <v>16834.580000000002</v>
      </c>
      <c r="BD714">
        <v>16834.580000000002</v>
      </c>
      <c r="BE714">
        <v>16834.580000000002</v>
      </c>
      <c r="BF714">
        <v>12323.63</v>
      </c>
      <c r="BG714">
        <v>5970.58</v>
      </c>
      <c r="BH714">
        <v>1352.62</v>
      </c>
      <c r="BI714">
        <v>3423.38</v>
      </c>
      <c r="BJ714">
        <v>964.1</v>
      </c>
      <c r="BK714">
        <v>1778.62</v>
      </c>
      <c r="BL714">
        <v>2764.97</v>
      </c>
      <c r="BM714">
        <v>580.30999999999995</v>
      </c>
      <c r="BP714" s="3">
        <v>45567</v>
      </c>
      <c r="BQ714">
        <v>3037.01</v>
      </c>
    </row>
    <row r="715" spans="1:71" x14ac:dyDescent="0.25">
      <c r="A715" t="s">
        <v>887</v>
      </c>
      <c r="B715" t="s">
        <v>891</v>
      </c>
      <c r="C715" s="2">
        <f>HYPERLINK("https://szao.dolgi.msk.ru/account/3470187344/", 3470187344)</f>
        <v>3470187344</v>
      </c>
      <c r="D715" t="s">
        <v>29</v>
      </c>
      <c r="E715">
        <v>42759.47</v>
      </c>
      <c r="AX715">
        <v>5.64</v>
      </c>
      <c r="AY715">
        <v>4.1500000000000004</v>
      </c>
      <c r="AZ715" t="s">
        <v>40</v>
      </c>
      <c r="BA715" t="s">
        <v>49</v>
      </c>
      <c r="BB715">
        <v>42759.47</v>
      </c>
      <c r="BC715">
        <v>42759.47</v>
      </c>
      <c r="BD715">
        <v>42759.47</v>
      </c>
      <c r="BE715">
        <v>42759.47</v>
      </c>
      <c r="BF715">
        <v>48681.68</v>
      </c>
      <c r="BG715">
        <v>11411.55</v>
      </c>
      <c r="BH715">
        <v>3330.54</v>
      </c>
      <c r="BI715">
        <v>7364.26</v>
      </c>
      <c r="BJ715">
        <v>2326.0500000000002</v>
      </c>
      <c r="BK715">
        <v>4857.3900000000003</v>
      </c>
      <c r="BL715">
        <v>11088.71</v>
      </c>
      <c r="BM715">
        <v>2380.9699999999998</v>
      </c>
      <c r="BN715">
        <v>5922.21</v>
      </c>
      <c r="BO715">
        <v>10302</v>
      </c>
      <c r="BP715" s="3">
        <v>45698</v>
      </c>
      <c r="BQ715">
        <v>16224.21</v>
      </c>
      <c r="BR715" s="3">
        <v>44973</v>
      </c>
      <c r="BS715" t="s">
        <v>892</v>
      </c>
    </row>
    <row r="716" spans="1:71" x14ac:dyDescent="0.25">
      <c r="A716" t="s">
        <v>893</v>
      </c>
      <c r="B716" t="s">
        <v>894</v>
      </c>
      <c r="C716" s="2">
        <f>HYPERLINK("https://szao.dolgi.msk.ru/account/3470188777/", 3470188777)</f>
        <v>3470188777</v>
      </c>
      <c r="D716" t="s">
        <v>29</v>
      </c>
      <c r="E716">
        <v>27447.71</v>
      </c>
      <c r="AX716">
        <v>5.49</v>
      </c>
      <c r="AY716">
        <v>5.92</v>
      </c>
      <c r="AZ716" t="s">
        <v>35</v>
      </c>
      <c r="BA716" t="s">
        <v>49</v>
      </c>
      <c r="BB716">
        <v>27447.71</v>
      </c>
      <c r="BC716">
        <v>27447.71</v>
      </c>
      <c r="BD716">
        <v>27447.71</v>
      </c>
      <c r="BE716">
        <v>27447.71</v>
      </c>
      <c r="BF716">
        <v>27447.71</v>
      </c>
      <c r="BG716">
        <v>5940.73</v>
      </c>
      <c r="BH716">
        <v>1801.43</v>
      </c>
      <c r="BI716">
        <v>5210.32</v>
      </c>
      <c r="BJ716">
        <v>1383.98</v>
      </c>
      <c r="BK716">
        <v>2553.75</v>
      </c>
      <c r="BL716">
        <v>9020.15</v>
      </c>
      <c r="BM716">
        <v>1537.35</v>
      </c>
      <c r="BO716">
        <v>4634.49</v>
      </c>
      <c r="BP716" s="3">
        <v>45695</v>
      </c>
      <c r="BQ716">
        <v>4634.49</v>
      </c>
      <c r="BR716" s="3">
        <v>45282</v>
      </c>
      <c r="BS716" t="s">
        <v>895</v>
      </c>
    </row>
    <row r="717" spans="1:71" x14ac:dyDescent="0.25">
      <c r="A717" t="s">
        <v>893</v>
      </c>
      <c r="B717" t="s">
        <v>896</v>
      </c>
      <c r="C717" s="2">
        <f>HYPERLINK("https://szao.dolgi.msk.ru/account/3470188945/", 3470188945)</f>
        <v>3470188945</v>
      </c>
      <c r="D717" t="s">
        <v>29</v>
      </c>
      <c r="E717">
        <v>101025.46</v>
      </c>
      <c r="AX717">
        <v>43.35</v>
      </c>
      <c r="AY717">
        <v>23.17</v>
      </c>
      <c r="AZ717" t="s">
        <v>40</v>
      </c>
      <c r="BA717" t="s">
        <v>36</v>
      </c>
      <c r="BB717">
        <v>101025.46</v>
      </c>
      <c r="BC717">
        <v>101025.46</v>
      </c>
      <c r="BD717">
        <v>101025.46</v>
      </c>
      <c r="BE717">
        <v>101025.46</v>
      </c>
      <c r="BF717">
        <v>96664.7</v>
      </c>
      <c r="BG717">
        <v>3535.96</v>
      </c>
      <c r="BH717">
        <v>17286.78</v>
      </c>
      <c r="BI717">
        <v>48259.08</v>
      </c>
      <c r="BJ717">
        <v>12659.48</v>
      </c>
      <c r="BK717">
        <v>14572.96</v>
      </c>
      <c r="BL717">
        <v>4071.52</v>
      </c>
      <c r="BM717">
        <v>639.67999999999995</v>
      </c>
      <c r="BP717" s="3">
        <v>45653</v>
      </c>
      <c r="BQ717">
        <v>3886.4</v>
      </c>
      <c r="BR717" s="3">
        <v>45670</v>
      </c>
      <c r="BS717" t="s">
        <v>897</v>
      </c>
    </row>
    <row r="718" spans="1:71" x14ac:dyDescent="0.25">
      <c r="A718" t="s">
        <v>893</v>
      </c>
      <c r="B718" t="s">
        <v>898</v>
      </c>
      <c r="C718" s="2">
        <f>HYPERLINK("https://szao.dolgi.msk.ru/account/3470189358/", 3470189358)</f>
        <v>3470189358</v>
      </c>
      <c r="D718" t="s">
        <v>29</v>
      </c>
      <c r="E718">
        <v>15839.31</v>
      </c>
      <c r="AX718">
        <v>6.23</v>
      </c>
      <c r="AY718">
        <v>6.18</v>
      </c>
      <c r="AZ718" t="s">
        <v>30</v>
      </c>
      <c r="BA718" t="s">
        <v>66</v>
      </c>
      <c r="BB718">
        <v>15839.31</v>
      </c>
      <c r="BC718">
        <v>15839.31</v>
      </c>
      <c r="BD718">
        <v>15839.31</v>
      </c>
      <c r="BE718">
        <v>15839.31</v>
      </c>
      <c r="BF718">
        <v>13277.04</v>
      </c>
      <c r="BG718">
        <v>6749.87</v>
      </c>
      <c r="BH718">
        <v>191.54</v>
      </c>
      <c r="BI718">
        <v>0</v>
      </c>
      <c r="BJ718">
        <v>0</v>
      </c>
      <c r="BK718">
        <v>148.77000000000001</v>
      </c>
      <c r="BL718">
        <v>8247.1</v>
      </c>
      <c r="BM718">
        <v>502.03</v>
      </c>
      <c r="BP718" s="3">
        <v>45598</v>
      </c>
      <c r="BQ718">
        <v>8980.42</v>
      </c>
      <c r="BR718" s="3">
        <v>45233</v>
      </c>
      <c r="BS718" t="s">
        <v>899</v>
      </c>
    </row>
    <row r="719" spans="1:71" x14ac:dyDescent="0.25">
      <c r="A719" t="s">
        <v>893</v>
      </c>
      <c r="B719" t="s">
        <v>900</v>
      </c>
      <c r="C719" s="2">
        <f>HYPERLINK("https://szao.dolgi.msk.ru/account/3470189737/", 3470189737)</f>
        <v>3470189737</v>
      </c>
      <c r="D719" t="s">
        <v>29</v>
      </c>
      <c r="E719">
        <v>103979.07</v>
      </c>
      <c r="AX719">
        <v>14.27</v>
      </c>
      <c r="AY719">
        <v>9.34</v>
      </c>
      <c r="AZ719" t="s">
        <v>40</v>
      </c>
      <c r="BA719" t="s">
        <v>36</v>
      </c>
      <c r="BB719">
        <v>103979.07</v>
      </c>
      <c r="BC719">
        <v>103979.07</v>
      </c>
      <c r="BD719">
        <v>103979.07</v>
      </c>
      <c r="BE719">
        <v>103979.07</v>
      </c>
      <c r="BF719">
        <v>99848.56</v>
      </c>
      <c r="BG719">
        <v>9837.44</v>
      </c>
      <c r="BH719">
        <v>10660.67</v>
      </c>
      <c r="BI719">
        <v>19971.400000000001</v>
      </c>
      <c r="BJ719">
        <v>10438.33</v>
      </c>
      <c r="BK719">
        <v>13228.35</v>
      </c>
      <c r="BL719">
        <v>32662.89</v>
      </c>
      <c r="BM719">
        <v>7179.99</v>
      </c>
      <c r="BN719">
        <v>6997</v>
      </c>
      <c r="BP719" s="3">
        <v>45696</v>
      </c>
      <c r="BQ719">
        <v>6997</v>
      </c>
      <c r="BR719" s="3">
        <v>45553</v>
      </c>
      <c r="BS719" t="s">
        <v>901</v>
      </c>
    </row>
    <row r="720" spans="1:71" x14ac:dyDescent="0.25">
      <c r="A720" t="s">
        <v>902</v>
      </c>
      <c r="B720" t="s">
        <v>552</v>
      </c>
      <c r="C720" s="2">
        <f>HYPERLINK("https://szao.dolgi.msk.ru/account/3470191562/", 3470191562)</f>
        <v>3470191562</v>
      </c>
      <c r="D720" t="s">
        <v>29</v>
      </c>
      <c r="E720">
        <v>258641.77</v>
      </c>
      <c r="AX720">
        <v>22.89</v>
      </c>
      <c r="AY720">
        <v>21.21</v>
      </c>
      <c r="AZ720" t="s">
        <v>40</v>
      </c>
      <c r="BA720" t="s">
        <v>36</v>
      </c>
      <c r="BB720">
        <v>258641.77</v>
      </c>
      <c r="BC720">
        <v>258641.77</v>
      </c>
      <c r="BD720">
        <v>258641.77</v>
      </c>
      <c r="BE720">
        <v>258641.77</v>
      </c>
      <c r="BF720">
        <v>246448.47</v>
      </c>
      <c r="BG720">
        <v>54369.81</v>
      </c>
      <c r="BH720">
        <v>21721.11</v>
      </c>
      <c r="BI720">
        <v>52271.18</v>
      </c>
      <c r="BJ720">
        <v>16468.490000000002</v>
      </c>
      <c r="BK720">
        <v>28277.66</v>
      </c>
      <c r="BL720">
        <v>74446.16</v>
      </c>
      <c r="BM720">
        <v>11087.36</v>
      </c>
      <c r="BP720" s="3">
        <v>45653</v>
      </c>
      <c r="BQ720">
        <v>6360.5</v>
      </c>
      <c r="BR720" s="3">
        <v>45092</v>
      </c>
      <c r="BS720" t="s">
        <v>903</v>
      </c>
    </row>
    <row r="721" spans="1:71" x14ac:dyDescent="0.25">
      <c r="A721" t="s">
        <v>902</v>
      </c>
      <c r="B721" t="s">
        <v>284</v>
      </c>
      <c r="C721" s="2">
        <f>HYPERLINK("https://szao.dolgi.msk.ru/account/3470191802/", 3470191802)</f>
        <v>3470191802</v>
      </c>
      <c r="D721" t="s">
        <v>29</v>
      </c>
      <c r="E721">
        <v>19170.93</v>
      </c>
      <c r="AX721">
        <v>3.49</v>
      </c>
      <c r="AY721">
        <v>3.5</v>
      </c>
      <c r="AZ721" t="s">
        <v>69</v>
      </c>
      <c r="BA721" t="s">
        <v>49</v>
      </c>
      <c r="BB721">
        <v>19170.93</v>
      </c>
      <c r="BC721">
        <v>19170.93</v>
      </c>
      <c r="BD721">
        <v>19170.93</v>
      </c>
      <c r="BE721">
        <v>19170.93</v>
      </c>
      <c r="BF721">
        <v>13699.02</v>
      </c>
      <c r="BG721">
        <v>8171.28</v>
      </c>
      <c r="BH721">
        <v>239.2</v>
      </c>
      <c r="BI721">
        <v>212.34</v>
      </c>
      <c r="BJ721">
        <v>59.8</v>
      </c>
      <c r="BK721">
        <v>229.55</v>
      </c>
      <c r="BL721">
        <v>9642.56</v>
      </c>
      <c r="BM721">
        <v>616.20000000000005</v>
      </c>
      <c r="BP721" s="3">
        <v>45590</v>
      </c>
      <c r="BQ721">
        <v>29849.65</v>
      </c>
      <c r="BR721" s="3">
        <v>45509</v>
      </c>
      <c r="BS721" t="s">
        <v>904</v>
      </c>
    </row>
    <row r="722" spans="1:71" x14ac:dyDescent="0.25">
      <c r="A722" t="s">
        <v>902</v>
      </c>
      <c r="B722" t="s">
        <v>905</v>
      </c>
      <c r="C722" s="2">
        <f>HYPERLINK("https://szao.dolgi.msk.ru/account/3470191191/", 3470191191)</f>
        <v>3470191191</v>
      </c>
      <c r="D722" t="s">
        <v>29</v>
      </c>
      <c r="E722">
        <v>32303.8</v>
      </c>
      <c r="AX722">
        <v>3.63</v>
      </c>
      <c r="AY722">
        <v>4.09</v>
      </c>
      <c r="AZ722" t="s">
        <v>35</v>
      </c>
      <c r="BA722" t="s">
        <v>49</v>
      </c>
      <c r="BB722">
        <v>32303.8</v>
      </c>
      <c r="BC722">
        <v>6023.83</v>
      </c>
      <c r="BD722">
        <v>32303.8</v>
      </c>
      <c r="BE722">
        <v>6023.83</v>
      </c>
      <c r="BF722">
        <v>0</v>
      </c>
      <c r="BG722">
        <v>1809.7</v>
      </c>
      <c r="BH722">
        <v>259.7</v>
      </c>
      <c r="BI722">
        <v>18742.64</v>
      </c>
      <c r="BJ722">
        <v>5278.37</v>
      </c>
      <c r="BK722">
        <v>3923.08</v>
      </c>
      <c r="BL722">
        <v>1955.07</v>
      </c>
      <c r="BM722">
        <v>335.24</v>
      </c>
      <c r="BN722">
        <v>5766.73</v>
      </c>
      <c r="BP722" s="3">
        <v>45674</v>
      </c>
      <c r="BQ722">
        <v>5766.73</v>
      </c>
    </row>
    <row r="723" spans="1:71" x14ac:dyDescent="0.25">
      <c r="A723" t="s">
        <v>902</v>
      </c>
      <c r="B723" t="s">
        <v>906</v>
      </c>
      <c r="C723" s="2">
        <f>HYPERLINK("https://szao.dolgi.msk.ru/account/3470191271/", 3470191271)</f>
        <v>3470191271</v>
      </c>
      <c r="D723" t="s">
        <v>29</v>
      </c>
      <c r="E723">
        <v>17831.400000000001</v>
      </c>
      <c r="AX723">
        <v>3.52</v>
      </c>
      <c r="AY723">
        <v>3.22</v>
      </c>
      <c r="AZ723" t="s">
        <v>40</v>
      </c>
      <c r="BA723" t="s">
        <v>49</v>
      </c>
      <c r="BB723">
        <v>17831.400000000001</v>
      </c>
      <c r="BC723">
        <v>17810.21</v>
      </c>
      <c r="BD723">
        <v>24667.25</v>
      </c>
      <c r="BE723">
        <v>24650.65</v>
      </c>
      <c r="BF723">
        <v>12299.95</v>
      </c>
      <c r="BG723">
        <v>9532.35</v>
      </c>
      <c r="BH723">
        <v>459.06</v>
      </c>
      <c r="BI723">
        <v>440.35</v>
      </c>
      <c r="BJ723">
        <v>123.69</v>
      </c>
      <c r="BK723">
        <v>-6835.85</v>
      </c>
      <c r="BL723">
        <v>12120.15</v>
      </c>
      <c r="BM723">
        <v>1991.65</v>
      </c>
      <c r="BO723">
        <v>5480.95</v>
      </c>
      <c r="BP723" s="3">
        <v>45685</v>
      </c>
      <c r="BQ723">
        <v>5480.95</v>
      </c>
      <c r="BR723" s="3">
        <v>45489</v>
      </c>
      <c r="BS723" t="s">
        <v>907</v>
      </c>
    </row>
    <row r="724" spans="1:71" x14ac:dyDescent="0.25">
      <c r="A724" t="s">
        <v>908</v>
      </c>
      <c r="B724" t="s">
        <v>39</v>
      </c>
      <c r="C724" s="2">
        <f>HYPERLINK("https://szao.dolgi.msk.ru/account/3470194755/", 3470194755)</f>
        <v>3470194755</v>
      </c>
      <c r="D724" t="s">
        <v>29</v>
      </c>
      <c r="E724">
        <v>74836.539999999994</v>
      </c>
      <c r="AX724">
        <v>5.54</v>
      </c>
      <c r="AY724">
        <v>4.6900000000000004</v>
      </c>
      <c r="AZ724" t="s">
        <v>69</v>
      </c>
      <c r="BA724" t="s">
        <v>49</v>
      </c>
      <c r="BB724">
        <v>74836.539999999994</v>
      </c>
      <c r="BC724">
        <v>74836.539999999994</v>
      </c>
      <c r="BD724">
        <v>74836.539999999994</v>
      </c>
      <c r="BE724">
        <v>74836.539999999994</v>
      </c>
      <c r="BF724">
        <v>58876.86</v>
      </c>
      <c r="BG724">
        <v>7539.97</v>
      </c>
      <c r="BH724">
        <v>10721.21</v>
      </c>
      <c r="BI724">
        <v>27015.14</v>
      </c>
      <c r="BJ724">
        <v>7348.74</v>
      </c>
      <c r="BK724">
        <v>14060.49</v>
      </c>
      <c r="BL724">
        <v>6587.29</v>
      </c>
      <c r="BM724">
        <v>1563.7</v>
      </c>
      <c r="BO724">
        <v>10197.709999999999</v>
      </c>
      <c r="BP724" s="3">
        <v>45679</v>
      </c>
      <c r="BQ724">
        <v>10197.709999999999</v>
      </c>
    </row>
    <row r="725" spans="1:71" x14ac:dyDescent="0.25">
      <c r="A725" t="s">
        <v>908</v>
      </c>
      <c r="B725" t="s">
        <v>207</v>
      </c>
      <c r="C725" s="2">
        <f>HYPERLINK("https://szao.dolgi.msk.ru/account/3470194771/", 3470194771)</f>
        <v>3470194771</v>
      </c>
      <c r="D725" t="s">
        <v>29</v>
      </c>
      <c r="E725">
        <v>122766.8</v>
      </c>
      <c r="AX725">
        <v>11.84</v>
      </c>
      <c r="AY725">
        <v>10.01</v>
      </c>
      <c r="AZ725" t="s">
        <v>40</v>
      </c>
      <c r="BA725" t="s">
        <v>63</v>
      </c>
      <c r="BB725">
        <v>122766.8</v>
      </c>
      <c r="BC725">
        <v>122766.8</v>
      </c>
      <c r="BD725">
        <v>122766.8</v>
      </c>
      <c r="BE725">
        <v>122766.8</v>
      </c>
      <c r="BF725">
        <v>110504.8</v>
      </c>
      <c r="BG725">
        <v>34417.089999999997</v>
      </c>
      <c r="BH725">
        <v>9723.86</v>
      </c>
      <c r="BI725">
        <v>21917.42</v>
      </c>
      <c r="BJ725">
        <v>6744.77</v>
      </c>
      <c r="BK725">
        <v>12774.93</v>
      </c>
      <c r="BL725">
        <v>29693.23</v>
      </c>
      <c r="BM725">
        <v>7495.5</v>
      </c>
      <c r="BP725" s="3">
        <v>45654</v>
      </c>
      <c r="BQ725">
        <v>0</v>
      </c>
      <c r="BR725" s="3">
        <v>45671</v>
      </c>
      <c r="BS725" t="s">
        <v>909</v>
      </c>
    </row>
    <row r="726" spans="1:71" x14ac:dyDescent="0.25">
      <c r="A726" t="s">
        <v>908</v>
      </c>
      <c r="B726" t="s">
        <v>220</v>
      </c>
      <c r="C726" s="2">
        <f>HYPERLINK("https://szao.dolgi.msk.ru/account/3470194827/", 3470194827)</f>
        <v>3470194827</v>
      </c>
      <c r="D726" t="s">
        <v>29</v>
      </c>
      <c r="E726">
        <v>7266.47</v>
      </c>
      <c r="AX726">
        <v>2.76</v>
      </c>
      <c r="AY726">
        <v>2.17</v>
      </c>
      <c r="AZ726" t="s">
        <v>30</v>
      </c>
      <c r="BA726" t="s">
        <v>31</v>
      </c>
      <c r="BB726">
        <v>7266.47</v>
      </c>
      <c r="BC726">
        <v>7266.47</v>
      </c>
      <c r="BD726">
        <v>7266.47</v>
      </c>
      <c r="BE726">
        <v>7266.47</v>
      </c>
      <c r="BF726">
        <v>4383.67</v>
      </c>
      <c r="BG726">
        <v>2830.39</v>
      </c>
      <c r="BH726">
        <v>481.6</v>
      </c>
      <c r="BI726">
        <v>1170.06</v>
      </c>
      <c r="BJ726">
        <v>329.52</v>
      </c>
      <c r="BK726">
        <v>622.72</v>
      </c>
      <c r="BL726">
        <v>1320.14</v>
      </c>
      <c r="BM726">
        <v>512.04</v>
      </c>
      <c r="BP726" s="3">
        <v>45615</v>
      </c>
      <c r="BQ726">
        <v>17619.48</v>
      </c>
      <c r="BR726" s="3">
        <v>44804</v>
      </c>
      <c r="BS726" t="s">
        <v>910</v>
      </c>
    </row>
    <row r="727" spans="1:71" x14ac:dyDescent="0.25">
      <c r="A727" t="s">
        <v>908</v>
      </c>
      <c r="B727" t="s">
        <v>840</v>
      </c>
      <c r="C727" s="2">
        <f>HYPERLINK("https://szao.dolgi.msk.ru/account/3470193947/", 3470193947)</f>
        <v>3470193947</v>
      </c>
      <c r="D727" t="s">
        <v>29</v>
      </c>
      <c r="E727">
        <v>5585.06</v>
      </c>
      <c r="AX727">
        <v>6.55</v>
      </c>
      <c r="AY727">
        <v>1.87</v>
      </c>
      <c r="AZ727" t="s">
        <v>40</v>
      </c>
      <c r="BA727" t="s">
        <v>66</v>
      </c>
      <c r="BB727">
        <v>5585.06</v>
      </c>
      <c r="BC727">
        <v>5585.06</v>
      </c>
      <c r="BD727">
        <v>5585.06</v>
      </c>
      <c r="BE727">
        <v>5585.06</v>
      </c>
      <c r="BF727">
        <v>2603.2199999999998</v>
      </c>
      <c r="BG727">
        <v>2822.28</v>
      </c>
      <c r="BH727">
        <v>0</v>
      </c>
      <c r="BI727">
        <v>0</v>
      </c>
      <c r="BJ727">
        <v>0</v>
      </c>
      <c r="BK727">
        <v>0</v>
      </c>
      <c r="BL727">
        <v>2252.2199999999998</v>
      </c>
      <c r="BM727">
        <v>510.56</v>
      </c>
      <c r="BP727" s="3">
        <v>45653</v>
      </c>
      <c r="BQ727">
        <v>2603.2199999999998</v>
      </c>
    </row>
    <row r="728" spans="1:71" x14ac:dyDescent="0.25">
      <c r="A728" t="s">
        <v>911</v>
      </c>
      <c r="B728" t="s">
        <v>34</v>
      </c>
      <c r="C728" s="2">
        <f>HYPERLINK("https://szao.dolgi.msk.ru/account/3470319781/", 3470319781)</f>
        <v>3470319781</v>
      </c>
      <c r="D728" t="s">
        <v>29</v>
      </c>
      <c r="E728">
        <v>34768.639999999999</v>
      </c>
      <c r="AX728">
        <v>22.15</v>
      </c>
      <c r="AY728">
        <v>20.39</v>
      </c>
      <c r="AZ728" t="s">
        <v>40</v>
      </c>
      <c r="BA728" t="s">
        <v>36</v>
      </c>
      <c r="BB728">
        <v>34768.639999999999</v>
      </c>
      <c r="BC728">
        <v>34768.639999999999</v>
      </c>
      <c r="BD728">
        <v>34768.639999999999</v>
      </c>
      <c r="BE728">
        <v>34768.639999999999</v>
      </c>
      <c r="BF728">
        <v>33063.58</v>
      </c>
      <c r="BG728">
        <v>6564.9</v>
      </c>
      <c r="BH728">
        <v>2386.38</v>
      </c>
      <c r="BI728">
        <v>0</v>
      </c>
      <c r="BJ728">
        <v>0</v>
      </c>
      <c r="BK728">
        <v>1792.47</v>
      </c>
      <c r="BL728">
        <v>20781.21</v>
      </c>
      <c r="BM728">
        <v>3243.68</v>
      </c>
      <c r="BO728">
        <v>1705.06</v>
      </c>
      <c r="BP728" s="3">
        <v>45678</v>
      </c>
      <c r="BQ728">
        <v>1705.06</v>
      </c>
      <c r="BR728" s="3">
        <v>45520</v>
      </c>
      <c r="BS728" t="s">
        <v>912</v>
      </c>
    </row>
    <row r="729" spans="1:71" x14ac:dyDescent="0.25">
      <c r="A729" t="s">
        <v>911</v>
      </c>
      <c r="B729" t="s">
        <v>80</v>
      </c>
      <c r="C729" s="2">
        <f>HYPERLINK("https://szao.dolgi.msk.ru/account/3470319845/", 3470319845)</f>
        <v>3470319845</v>
      </c>
      <c r="D729" t="s">
        <v>29</v>
      </c>
      <c r="E729">
        <v>90907.25</v>
      </c>
      <c r="AX729">
        <v>48.26</v>
      </c>
      <c r="AY729">
        <v>37.17</v>
      </c>
      <c r="AZ729" t="s">
        <v>56</v>
      </c>
      <c r="BA729" t="s">
        <v>36</v>
      </c>
      <c r="BB729">
        <v>90907.25</v>
      </c>
      <c r="BC729">
        <v>90907.25</v>
      </c>
      <c r="BD729">
        <v>90907.25</v>
      </c>
      <c r="BE729">
        <v>90907.25</v>
      </c>
      <c r="BF729">
        <v>88461.63</v>
      </c>
      <c r="BG729">
        <v>28024.87</v>
      </c>
      <c r="BH729">
        <v>7358.32</v>
      </c>
      <c r="BI729">
        <v>0</v>
      </c>
      <c r="BJ729">
        <v>0</v>
      </c>
      <c r="BK729">
        <v>5587.38</v>
      </c>
      <c r="BL729">
        <v>43660.88</v>
      </c>
      <c r="BM729">
        <v>6275.8</v>
      </c>
      <c r="BP729" s="3">
        <v>44428</v>
      </c>
      <c r="BQ729">
        <v>0</v>
      </c>
      <c r="BR729" s="3">
        <v>45520</v>
      </c>
      <c r="BS729" t="s">
        <v>913</v>
      </c>
    </row>
    <row r="730" spans="1:71" x14ac:dyDescent="0.25">
      <c r="A730" t="s">
        <v>911</v>
      </c>
      <c r="B730" t="s">
        <v>80</v>
      </c>
      <c r="C730" s="2">
        <f>HYPERLINK("https://szao.dolgi.msk.ru/account/3470319888/", 3470319888)</f>
        <v>3470319888</v>
      </c>
      <c r="D730" t="s">
        <v>29</v>
      </c>
      <c r="E730">
        <v>88876.78</v>
      </c>
      <c r="AX730">
        <v>47.83</v>
      </c>
      <c r="AY730">
        <v>33.880000000000003</v>
      </c>
      <c r="AZ730" t="s">
        <v>56</v>
      </c>
      <c r="BA730" t="s">
        <v>36</v>
      </c>
      <c r="BB730">
        <v>88876.78</v>
      </c>
      <c r="BC730">
        <v>88876.78</v>
      </c>
      <c r="BD730">
        <v>88876.78</v>
      </c>
      <c r="BE730">
        <v>88876.78</v>
      </c>
      <c r="BF730">
        <v>86253.33</v>
      </c>
      <c r="BG730">
        <v>12327.88</v>
      </c>
      <c r="BH730">
        <v>26664.84</v>
      </c>
      <c r="BI730">
        <v>0</v>
      </c>
      <c r="BJ730">
        <v>0</v>
      </c>
      <c r="BK730">
        <v>17918.23</v>
      </c>
      <c r="BL730">
        <v>27553.66</v>
      </c>
      <c r="BM730">
        <v>4412.17</v>
      </c>
      <c r="BP730" s="3">
        <v>45133</v>
      </c>
      <c r="BQ730">
        <v>10208.68</v>
      </c>
      <c r="BR730" s="3">
        <v>45520</v>
      </c>
      <c r="BS730" t="s">
        <v>914</v>
      </c>
    </row>
    <row r="731" spans="1:71" x14ac:dyDescent="0.25">
      <c r="A731" t="s">
        <v>911</v>
      </c>
      <c r="B731" t="s">
        <v>223</v>
      </c>
      <c r="C731" s="2">
        <f>HYPERLINK("https://szao.dolgi.msk.ru/account/3470320168/", 3470320168)</f>
        <v>3470320168</v>
      </c>
      <c r="D731" t="s">
        <v>29</v>
      </c>
      <c r="E731">
        <v>16301.04</v>
      </c>
      <c r="AX731">
        <v>3.86</v>
      </c>
      <c r="AY731">
        <v>3.68</v>
      </c>
      <c r="AZ731" t="s">
        <v>69</v>
      </c>
      <c r="BA731" t="s">
        <v>49</v>
      </c>
      <c r="BB731">
        <v>16301.04</v>
      </c>
      <c r="BC731">
        <v>16301.04</v>
      </c>
      <c r="BD731">
        <v>16301.04</v>
      </c>
      <c r="BE731">
        <v>16301.04</v>
      </c>
      <c r="BF731">
        <v>11867.59</v>
      </c>
      <c r="BG731">
        <v>5146.8999999999996</v>
      </c>
      <c r="BH731">
        <v>1169.43</v>
      </c>
      <c r="BI731">
        <v>0</v>
      </c>
      <c r="BJ731">
        <v>0</v>
      </c>
      <c r="BK731">
        <v>897.79</v>
      </c>
      <c r="BL731">
        <v>7856.56</v>
      </c>
      <c r="BM731">
        <v>1230.3599999999999</v>
      </c>
      <c r="BP731" s="3">
        <v>45583</v>
      </c>
      <c r="BQ731">
        <v>3861.9</v>
      </c>
      <c r="BR731" s="3">
        <v>45481</v>
      </c>
      <c r="BS731" t="s">
        <v>915</v>
      </c>
    </row>
    <row r="732" spans="1:71" x14ac:dyDescent="0.25">
      <c r="A732" t="s">
        <v>911</v>
      </c>
      <c r="B732" t="s">
        <v>103</v>
      </c>
      <c r="C732" s="2">
        <f>HYPERLINK("https://szao.dolgi.msk.ru/account/3470320192/", 3470320192)</f>
        <v>3470320192</v>
      </c>
      <c r="D732" t="s">
        <v>29</v>
      </c>
      <c r="E732">
        <v>4426.16</v>
      </c>
      <c r="AX732">
        <v>2.08</v>
      </c>
      <c r="AY732">
        <v>2.0099999999999998</v>
      </c>
      <c r="AZ732" t="s">
        <v>40</v>
      </c>
      <c r="BA732" t="s">
        <v>31</v>
      </c>
      <c r="BB732">
        <v>4426.16</v>
      </c>
      <c r="BC732">
        <v>4426.16</v>
      </c>
      <c r="BD732">
        <v>4426.16</v>
      </c>
      <c r="BE732">
        <v>4426.16</v>
      </c>
      <c r="BF732">
        <v>2228.61</v>
      </c>
      <c r="BG732">
        <v>1178.1400000000001</v>
      </c>
      <c r="BH732">
        <v>785.38</v>
      </c>
      <c r="BI732">
        <v>0</v>
      </c>
      <c r="BJ732">
        <v>0</v>
      </c>
      <c r="BK732">
        <v>602.95000000000005</v>
      </c>
      <c r="BL732">
        <v>1601.97</v>
      </c>
      <c r="BM732">
        <v>257.72000000000003</v>
      </c>
      <c r="BP732" s="3">
        <v>45645</v>
      </c>
      <c r="BQ732">
        <v>2215.9299999999998</v>
      </c>
    </row>
    <row r="733" spans="1:71" x14ac:dyDescent="0.25">
      <c r="A733" t="s">
        <v>916</v>
      </c>
      <c r="B733" t="s">
        <v>28</v>
      </c>
      <c r="C733" s="2">
        <f>HYPERLINK("https://szao.dolgi.msk.ru/account/3470195803/", 3470195803)</f>
        <v>3470195803</v>
      </c>
      <c r="D733" t="s">
        <v>29</v>
      </c>
      <c r="E733">
        <v>170693.69</v>
      </c>
      <c r="AX733">
        <v>49.33</v>
      </c>
      <c r="AY733">
        <v>58.65</v>
      </c>
      <c r="AZ733" t="s">
        <v>40</v>
      </c>
      <c r="BA733" t="s">
        <v>36</v>
      </c>
      <c r="BB733">
        <v>170693.69</v>
      </c>
      <c r="BC733">
        <v>170693.69</v>
      </c>
      <c r="BD733">
        <v>170693.69</v>
      </c>
      <c r="BE733">
        <v>170693.69</v>
      </c>
      <c r="BF733">
        <v>167783.5</v>
      </c>
      <c r="BG733">
        <v>32515.33</v>
      </c>
      <c r="BH733">
        <v>54203.88</v>
      </c>
      <c r="BI733">
        <v>0</v>
      </c>
      <c r="BJ733">
        <v>0</v>
      </c>
      <c r="BK733">
        <v>30938.73</v>
      </c>
      <c r="BL733">
        <v>45929.34</v>
      </c>
      <c r="BM733">
        <v>7106.41</v>
      </c>
      <c r="BP733" s="3">
        <v>45667</v>
      </c>
      <c r="BQ733">
        <v>10685.69</v>
      </c>
      <c r="BR733" s="3">
        <v>45618</v>
      </c>
      <c r="BS733" t="s">
        <v>917</v>
      </c>
    </row>
    <row r="734" spans="1:71" x14ac:dyDescent="0.25">
      <c r="A734" t="s">
        <v>918</v>
      </c>
      <c r="B734" t="s">
        <v>136</v>
      </c>
      <c r="C734" s="2">
        <f>HYPERLINK("https://szao.dolgi.msk.ru/account/3470313996/", 3470313996)</f>
        <v>3470313996</v>
      </c>
      <c r="D734" t="s">
        <v>29</v>
      </c>
      <c r="E734">
        <v>1975.3</v>
      </c>
      <c r="AX734">
        <v>2.64</v>
      </c>
      <c r="AY734">
        <v>1.39</v>
      </c>
      <c r="AZ734" t="s">
        <v>35</v>
      </c>
      <c r="BA734" t="s">
        <v>31</v>
      </c>
      <c r="BB734">
        <v>1975.3</v>
      </c>
      <c r="BC734">
        <v>1975.3</v>
      </c>
      <c r="BD734">
        <v>1975.3</v>
      </c>
      <c r="BE734">
        <v>1975.3</v>
      </c>
      <c r="BF734">
        <v>553.38</v>
      </c>
      <c r="BG734">
        <v>724.52</v>
      </c>
      <c r="BH734">
        <v>45.37</v>
      </c>
      <c r="BI734">
        <v>53.08</v>
      </c>
      <c r="BJ734">
        <v>14.95</v>
      </c>
      <c r="BK734">
        <v>44.77</v>
      </c>
      <c r="BL734">
        <v>996.12</v>
      </c>
      <c r="BM734">
        <v>96.49</v>
      </c>
      <c r="BN734">
        <v>140.32</v>
      </c>
      <c r="BP734" s="3">
        <v>45679</v>
      </c>
      <c r="BQ734">
        <v>140.32</v>
      </c>
      <c r="BR734" s="3">
        <v>45525</v>
      </c>
      <c r="BS734" t="s">
        <v>919</v>
      </c>
    </row>
    <row r="735" spans="1:71" x14ac:dyDescent="0.25">
      <c r="A735" t="s">
        <v>918</v>
      </c>
      <c r="B735" t="s">
        <v>136</v>
      </c>
      <c r="C735" s="2">
        <f>HYPERLINK("https://szao.dolgi.msk.ru/account/3470607134/", 3470607134)</f>
        <v>3470607134</v>
      </c>
      <c r="D735" t="s">
        <v>29</v>
      </c>
      <c r="E735">
        <v>5272.4</v>
      </c>
      <c r="AX735">
        <v>2.72</v>
      </c>
      <c r="AY735">
        <v>2.77</v>
      </c>
      <c r="AZ735" t="s">
        <v>40</v>
      </c>
      <c r="BA735" t="s">
        <v>31</v>
      </c>
      <c r="BB735">
        <v>5272.4</v>
      </c>
      <c r="BC735">
        <v>5272.4</v>
      </c>
      <c r="BD735">
        <v>5272.4</v>
      </c>
      <c r="BE735">
        <v>5272.4</v>
      </c>
      <c r="BF735">
        <v>3367.38</v>
      </c>
      <c r="BG735">
        <v>1844.36</v>
      </c>
      <c r="BH735">
        <v>0</v>
      </c>
      <c r="BI735">
        <v>0</v>
      </c>
      <c r="BJ735">
        <v>0</v>
      </c>
      <c r="BK735">
        <v>0</v>
      </c>
      <c r="BL735">
        <v>3000.39</v>
      </c>
      <c r="BM735">
        <v>427.65</v>
      </c>
      <c r="BP735" s="3">
        <v>45638</v>
      </c>
      <c r="BQ735">
        <v>1683.69</v>
      </c>
    </row>
    <row r="736" spans="1:71" x14ac:dyDescent="0.25">
      <c r="A736" t="s">
        <v>918</v>
      </c>
      <c r="B736" t="s">
        <v>296</v>
      </c>
      <c r="C736" s="2">
        <f>HYPERLINK("https://szao.dolgi.msk.ru/account/3470314032/", 3470314032)</f>
        <v>3470314032</v>
      </c>
      <c r="D736" t="s">
        <v>29</v>
      </c>
      <c r="E736">
        <v>26587.1</v>
      </c>
      <c r="AX736">
        <v>2.75</v>
      </c>
      <c r="AY736">
        <v>2.82</v>
      </c>
      <c r="AZ736" t="s">
        <v>30</v>
      </c>
      <c r="BA736" t="s">
        <v>31</v>
      </c>
      <c r="BB736">
        <v>26587.1</v>
      </c>
      <c r="BC736">
        <v>26587.1</v>
      </c>
      <c r="BD736">
        <v>26587.1</v>
      </c>
      <c r="BE736">
        <v>26587.1</v>
      </c>
      <c r="BF736">
        <v>17168.900000000001</v>
      </c>
      <c r="BG736">
        <v>6947.42</v>
      </c>
      <c r="BH736">
        <v>1244.1300000000001</v>
      </c>
      <c r="BI736">
        <v>3022.65</v>
      </c>
      <c r="BJ736">
        <v>851.25</v>
      </c>
      <c r="BK736">
        <v>1608.69</v>
      </c>
      <c r="BL736">
        <v>11302.02</v>
      </c>
      <c r="BM736">
        <v>1610.94</v>
      </c>
      <c r="BP736" s="3">
        <v>45628</v>
      </c>
      <c r="BQ736">
        <v>17168.900000000001</v>
      </c>
    </row>
    <row r="737" spans="1:71" x14ac:dyDescent="0.25">
      <c r="A737" t="s">
        <v>920</v>
      </c>
      <c r="B737" t="s">
        <v>139</v>
      </c>
      <c r="C737" s="2">
        <f>HYPERLINK("https://szao.dolgi.msk.ru/account/3470456823/", 3470456823)</f>
        <v>3470456823</v>
      </c>
      <c r="D737" t="s">
        <v>29</v>
      </c>
      <c r="E737">
        <v>13537.09</v>
      </c>
      <c r="AX737">
        <v>2.2000000000000002</v>
      </c>
      <c r="AY737">
        <v>1.88</v>
      </c>
      <c r="AZ737" t="s">
        <v>40</v>
      </c>
      <c r="BA737" t="s">
        <v>31</v>
      </c>
      <c r="BB737">
        <v>13537.09</v>
      </c>
      <c r="BC737">
        <v>13537.09</v>
      </c>
      <c r="BD737">
        <v>13537.09</v>
      </c>
      <c r="BE737">
        <v>13537.09</v>
      </c>
      <c r="BF737">
        <v>6351.1</v>
      </c>
      <c r="BG737">
        <v>4916.2299999999996</v>
      </c>
      <c r="BH737">
        <v>0</v>
      </c>
      <c r="BI737">
        <v>0</v>
      </c>
      <c r="BJ737">
        <v>0</v>
      </c>
      <c r="BK737">
        <v>0</v>
      </c>
      <c r="BL737">
        <v>7545.44</v>
      </c>
      <c r="BM737">
        <v>1075.42</v>
      </c>
      <c r="BP737" s="3">
        <v>45653</v>
      </c>
      <c r="BQ737">
        <v>6351.1</v>
      </c>
    </row>
    <row r="738" spans="1:71" x14ac:dyDescent="0.25">
      <c r="A738" t="s">
        <v>921</v>
      </c>
      <c r="B738" t="s">
        <v>173</v>
      </c>
      <c r="C738" s="2">
        <f>HYPERLINK("https://szao.dolgi.msk.ru/account/3470416768/", 3470416768)</f>
        <v>3470416768</v>
      </c>
      <c r="D738" t="s">
        <v>29</v>
      </c>
      <c r="E738">
        <v>149228.64000000001</v>
      </c>
      <c r="AX738">
        <v>35.58</v>
      </c>
      <c r="AY738">
        <v>30.29</v>
      </c>
      <c r="AZ738" t="s">
        <v>56</v>
      </c>
      <c r="BA738" t="s">
        <v>36</v>
      </c>
      <c r="BB738">
        <v>149228.64000000001</v>
      </c>
      <c r="BC738">
        <v>149228.64000000001</v>
      </c>
      <c r="BD738">
        <v>161334.82999999999</v>
      </c>
      <c r="BE738">
        <v>161334.82999999999</v>
      </c>
      <c r="BF738">
        <v>144302.43</v>
      </c>
      <c r="BG738">
        <v>54720.46</v>
      </c>
      <c r="BH738">
        <v>3428.24</v>
      </c>
      <c r="BI738">
        <v>7890.49</v>
      </c>
      <c r="BJ738">
        <v>2076.44</v>
      </c>
      <c r="BK738">
        <v>-12106.19</v>
      </c>
      <c r="BL738">
        <v>82898.899999999994</v>
      </c>
      <c r="BM738">
        <v>10320.299999999999</v>
      </c>
      <c r="BP738" s="3">
        <v>45596</v>
      </c>
      <c r="BQ738">
        <v>0</v>
      </c>
      <c r="BR738" s="3">
        <v>45355</v>
      </c>
      <c r="BS738" t="s">
        <v>922</v>
      </c>
    </row>
    <row r="739" spans="1:71" x14ac:dyDescent="0.25">
      <c r="A739" t="s">
        <v>921</v>
      </c>
      <c r="B739" t="s">
        <v>311</v>
      </c>
      <c r="C739" s="2">
        <f>HYPERLINK("https://szao.dolgi.msk.ru/account/3470314163/", 3470314163)</f>
        <v>3470314163</v>
      </c>
      <c r="D739" t="s">
        <v>29</v>
      </c>
      <c r="E739">
        <v>23082.47</v>
      </c>
      <c r="AX739">
        <v>2.92</v>
      </c>
      <c r="AY739">
        <v>2.93</v>
      </c>
      <c r="AZ739" t="s">
        <v>40</v>
      </c>
      <c r="BA739" t="s">
        <v>31</v>
      </c>
      <c r="BB739">
        <v>23082.47</v>
      </c>
      <c r="BC739">
        <v>23082.47</v>
      </c>
      <c r="BD739">
        <v>23082.47</v>
      </c>
      <c r="BE739">
        <v>23082.47</v>
      </c>
      <c r="BF739">
        <v>15212.98</v>
      </c>
      <c r="BG739">
        <v>2191.52</v>
      </c>
      <c r="BH739">
        <v>3110.34</v>
      </c>
      <c r="BI739">
        <v>7556.64</v>
      </c>
      <c r="BJ739">
        <v>2128.11</v>
      </c>
      <c r="BK739">
        <v>4021.74</v>
      </c>
      <c r="BL739">
        <v>3565.98</v>
      </c>
      <c r="BM739">
        <v>508.14</v>
      </c>
      <c r="BP739" s="3">
        <v>45637</v>
      </c>
      <c r="BQ739">
        <v>7606.49</v>
      </c>
    </row>
    <row r="740" spans="1:71" x14ac:dyDescent="0.25">
      <c r="A740" t="s">
        <v>923</v>
      </c>
      <c r="B740" t="s">
        <v>34</v>
      </c>
      <c r="C740" s="2">
        <f>HYPERLINK("https://szao.dolgi.msk.ru/account/3470197331/", 3470197331)</f>
        <v>3470197331</v>
      </c>
      <c r="D740" t="s">
        <v>29</v>
      </c>
      <c r="E740">
        <v>7596.43</v>
      </c>
      <c r="AX740">
        <v>2.11</v>
      </c>
      <c r="AY740">
        <v>2.11</v>
      </c>
      <c r="AZ740" t="s">
        <v>40</v>
      </c>
      <c r="BA740" t="s">
        <v>31</v>
      </c>
      <c r="BB740">
        <v>7596.43</v>
      </c>
      <c r="BC740">
        <v>7596.43</v>
      </c>
      <c r="BD740">
        <v>7596.43</v>
      </c>
      <c r="BE740">
        <v>7596.43</v>
      </c>
      <c r="BF740">
        <v>4279.13</v>
      </c>
      <c r="BG740">
        <v>2797.96</v>
      </c>
      <c r="BH740">
        <v>521.26</v>
      </c>
      <c r="BI740">
        <v>1625.49</v>
      </c>
      <c r="BJ740">
        <v>457.78</v>
      </c>
      <c r="BK740">
        <v>751.63</v>
      </c>
      <c r="BL740">
        <v>1062.69</v>
      </c>
      <c r="BM740">
        <v>379.62</v>
      </c>
      <c r="BN740">
        <v>4273.7299999999996</v>
      </c>
      <c r="BP740" s="3">
        <v>45681</v>
      </c>
      <c r="BQ740">
        <v>4273.7299999999996</v>
      </c>
    </row>
    <row r="741" spans="1:71" x14ac:dyDescent="0.25">
      <c r="A741" t="s">
        <v>923</v>
      </c>
      <c r="B741" t="s">
        <v>52</v>
      </c>
      <c r="C741" s="2">
        <f>HYPERLINK("https://szao.dolgi.msk.ru/account/3470197753/", 3470197753)</f>
        <v>3470197753</v>
      </c>
      <c r="D741" t="s">
        <v>29</v>
      </c>
      <c r="E741">
        <v>39213.39</v>
      </c>
      <c r="AX741">
        <v>11.13</v>
      </c>
      <c r="AY741">
        <v>5.08</v>
      </c>
      <c r="AZ741" t="s">
        <v>35</v>
      </c>
      <c r="BA741" t="s">
        <v>63</v>
      </c>
      <c r="BB741">
        <v>39213.39</v>
      </c>
      <c r="BC741">
        <v>39213.39</v>
      </c>
      <c r="BD741">
        <v>40099.31</v>
      </c>
      <c r="BE741">
        <v>40099.31</v>
      </c>
      <c r="BF741">
        <v>31501.01</v>
      </c>
      <c r="BG741">
        <v>3347.56</v>
      </c>
      <c r="BH741">
        <v>-885.92</v>
      </c>
      <c r="BI741">
        <v>17084.45</v>
      </c>
      <c r="BJ741">
        <v>6252.48</v>
      </c>
      <c r="BK741">
        <v>0</v>
      </c>
      <c r="BL741">
        <v>9272.43</v>
      </c>
      <c r="BM741">
        <v>4142.3900000000003</v>
      </c>
      <c r="BO741">
        <v>7297.67</v>
      </c>
      <c r="BP741" s="3">
        <v>45679</v>
      </c>
      <c r="BQ741">
        <v>7297.67</v>
      </c>
      <c r="BR741" s="3">
        <v>45313</v>
      </c>
      <c r="BS741" t="s">
        <v>924</v>
      </c>
    </row>
    <row r="742" spans="1:71" x14ac:dyDescent="0.25">
      <c r="A742" t="s">
        <v>923</v>
      </c>
      <c r="B742" t="s">
        <v>296</v>
      </c>
      <c r="C742" s="2">
        <f>HYPERLINK("https://szao.dolgi.msk.ru/account/3470197358/", 3470197358)</f>
        <v>3470197358</v>
      </c>
      <c r="D742" t="s">
        <v>29</v>
      </c>
      <c r="E742">
        <v>60444.81</v>
      </c>
      <c r="AX742">
        <v>7.53</v>
      </c>
      <c r="AY742">
        <v>7.57</v>
      </c>
      <c r="AZ742" t="s">
        <v>69</v>
      </c>
      <c r="BA742" t="s">
        <v>66</v>
      </c>
      <c r="BB742">
        <v>60444.81</v>
      </c>
      <c r="BC742">
        <v>60444.81</v>
      </c>
      <c r="BD742">
        <v>60444.81</v>
      </c>
      <c r="BE742">
        <v>60444.81</v>
      </c>
      <c r="BF742">
        <v>52461.05</v>
      </c>
      <c r="BG742">
        <v>8490.2099999999991</v>
      </c>
      <c r="BH742">
        <v>3256.17</v>
      </c>
      <c r="BI742">
        <v>23608.74</v>
      </c>
      <c r="BJ742">
        <v>6557.48</v>
      </c>
      <c r="BK742">
        <v>7565.04</v>
      </c>
      <c r="BL742">
        <v>9260.59</v>
      </c>
      <c r="BM742">
        <v>1706.58</v>
      </c>
      <c r="BP742" s="3">
        <v>45554</v>
      </c>
      <c r="BQ742">
        <v>6955.24</v>
      </c>
      <c r="BR742" s="3">
        <v>45510</v>
      </c>
      <c r="BS742" t="s">
        <v>925</v>
      </c>
    </row>
    <row r="743" spans="1:71" x14ac:dyDescent="0.25">
      <c r="A743" t="s">
        <v>923</v>
      </c>
      <c r="B743" t="s">
        <v>293</v>
      </c>
      <c r="C743" s="2">
        <f>HYPERLINK("https://szao.dolgi.msk.ru/account/3470197657/", 3470197657)</f>
        <v>3470197657</v>
      </c>
      <c r="D743" t="s">
        <v>29</v>
      </c>
      <c r="E743">
        <v>110219.91</v>
      </c>
      <c r="AX743">
        <v>21.7</v>
      </c>
      <c r="AY743">
        <v>12.91</v>
      </c>
      <c r="AZ743" t="s">
        <v>30</v>
      </c>
      <c r="BA743" t="s">
        <v>36</v>
      </c>
      <c r="BB743">
        <v>110219.91</v>
      </c>
      <c r="BC743">
        <v>110219.91</v>
      </c>
      <c r="BD743">
        <v>124215.92</v>
      </c>
      <c r="BE743">
        <v>124215.92</v>
      </c>
      <c r="BF743">
        <v>101684.02</v>
      </c>
      <c r="BG743">
        <v>32453.96</v>
      </c>
      <c r="BH743">
        <v>-13996.01</v>
      </c>
      <c r="BI743">
        <v>38876.82</v>
      </c>
      <c r="BJ743">
        <v>20502.62</v>
      </c>
      <c r="BK743">
        <v>3718.55</v>
      </c>
      <c r="BL743">
        <v>19725.669999999998</v>
      </c>
      <c r="BM743">
        <v>8938.2999999999993</v>
      </c>
      <c r="BP743" s="3">
        <v>45628</v>
      </c>
      <c r="BQ743">
        <v>12431.82</v>
      </c>
      <c r="BR743" s="3">
        <v>45637</v>
      </c>
      <c r="BS743" t="s">
        <v>926</v>
      </c>
    </row>
    <row r="744" spans="1:71" x14ac:dyDescent="0.25">
      <c r="A744" t="s">
        <v>927</v>
      </c>
      <c r="B744" t="s">
        <v>28</v>
      </c>
      <c r="C744" s="2">
        <f>HYPERLINK("https://szao.dolgi.msk.ru/account/3470197999/", 3470197999)</f>
        <v>3470197999</v>
      </c>
      <c r="D744" t="s">
        <v>29</v>
      </c>
      <c r="E744">
        <v>4702.78</v>
      </c>
      <c r="AX744">
        <v>2.0099999999999998</v>
      </c>
      <c r="AY744">
        <v>2.39</v>
      </c>
      <c r="AZ744" t="s">
        <v>40</v>
      </c>
      <c r="BA744" t="s">
        <v>31</v>
      </c>
      <c r="BB744">
        <v>4702.78</v>
      </c>
      <c r="BC744">
        <v>4702.78</v>
      </c>
      <c r="BD744">
        <v>4702.78</v>
      </c>
      <c r="BE744">
        <v>4702.78</v>
      </c>
      <c r="BF744">
        <v>6618.49</v>
      </c>
      <c r="BG744">
        <v>305.64</v>
      </c>
      <c r="BH744">
        <v>706.4</v>
      </c>
      <c r="BI744">
        <v>1824.26</v>
      </c>
      <c r="BJ744">
        <v>483.33</v>
      </c>
      <c r="BK744">
        <v>933.7</v>
      </c>
      <c r="BL744">
        <v>365.31</v>
      </c>
      <c r="BM744">
        <v>84.14</v>
      </c>
      <c r="BN744">
        <v>1915.71</v>
      </c>
      <c r="BO744">
        <v>1970.71</v>
      </c>
      <c r="BP744" s="3">
        <v>45692</v>
      </c>
      <c r="BQ744">
        <v>3886.42</v>
      </c>
      <c r="BR744" s="3">
        <v>45481</v>
      </c>
      <c r="BS744" t="s">
        <v>928</v>
      </c>
    </row>
    <row r="745" spans="1:71" x14ac:dyDescent="0.25">
      <c r="A745" t="s">
        <v>927</v>
      </c>
      <c r="B745" t="s">
        <v>28</v>
      </c>
      <c r="C745" s="2">
        <f>HYPERLINK("https://szao.dolgi.msk.ru/account/3470532806/", 3470532806)</f>
        <v>3470532806</v>
      </c>
      <c r="D745" t="s">
        <v>29</v>
      </c>
      <c r="E745">
        <v>34439.089999999997</v>
      </c>
      <c r="AX745">
        <v>30.07</v>
      </c>
      <c r="AY745">
        <v>23.32</v>
      </c>
      <c r="AZ745" t="s">
        <v>56</v>
      </c>
      <c r="BA745" t="s">
        <v>36</v>
      </c>
      <c r="BB745">
        <v>34439.089999999997</v>
      </c>
      <c r="BC745">
        <v>34439.089999999997</v>
      </c>
      <c r="BD745">
        <v>35979.35</v>
      </c>
      <c r="BE745">
        <v>35979.35</v>
      </c>
      <c r="BF745">
        <v>32962.6</v>
      </c>
      <c r="BG745">
        <v>14060.67</v>
      </c>
      <c r="BH745">
        <v>3594.57</v>
      </c>
      <c r="BI745">
        <v>-1540.26</v>
      </c>
      <c r="BJ745">
        <v>2257.87</v>
      </c>
      <c r="BK745">
        <v>103.35</v>
      </c>
      <c r="BL745">
        <v>13156.78</v>
      </c>
      <c r="BM745">
        <v>2806.11</v>
      </c>
      <c r="BP745" s="3">
        <v>45046</v>
      </c>
      <c r="BQ745">
        <v>0</v>
      </c>
      <c r="BR745" s="3">
        <v>45510</v>
      </c>
      <c r="BS745" t="s">
        <v>929</v>
      </c>
    </row>
    <row r="746" spans="1:71" x14ac:dyDescent="0.25">
      <c r="A746" t="s">
        <v>927</v>
      </c>
      <c r="B746" t="s">
        <v>28</v>
      </c>
      <c r="C746" s="2">
        <f>HYPERLINK("https://szao.dolgi.msk.ru/account/3470532814/", 3470532814)</f>
        <v>3470532814</v>
      </c>
      <c r="D746" t="s">
        <v>29</v>
      </c>
      <c r="E746">
        <v>15071.18</v>
      </c>
      <c r="AX746">
        <v>16.27</v>
      </c>
      <c r="AY746">
        <v>15.34</v>
      </c>
      <c r="AZ746" t="s">
        <v>56</v>
      </c>
      <c r="BA746" t="s">
        <v>36</v>
      </c>
      <c r="BB746">
        <v>15071.18</v>
      </c>
      <c r="BC746">
        <v>15071.18</v>
      </c>
      <c r="BD746">
        <v>15071.18</v>
      </c>
      <c r="BE746">
        <v>15071.18</v>
      </c>
      <c r="BF746">
        <v>14088.93</v>
      </c>
      <c r="BG746">
        <v>7486.91</v>
      </c>
      <c r="BH746">
        <v>0</v>
      </c>
      <c r="BI746">
        <v>0</v>
      </c>
      <c r="BJ746">
        <v>0</v>
      </c>
      <c r="BK746">
        <v>0</v>
      </c>
      <c r="BL746">
        <v>5768.63</v>
      </c>
      <c r="BM746">
        <v>1815.64</v>
      </c>
      <c r="BP746" s="3">
        <v>45027</v>
      </c>
      <c r="BQ746">
        <v>962.27</v>
      </c>
      <c r="BR746" s="3">
        <v>45510</v>
      </c>
      <c r="BS746" t="s">
        <v>930</v>
      </c>
    </row>
    <row r="747" spans="1:71" x14ac:dyDescent="0.25">
      <c r="A747" t="s">
        <v>927</v>
      </c>
      <c r="B747" t="s">
        <v>34</v>
      </c>
      <c r="C747" s="2">
        <f>HYPERLINK("https://szao.dolgi.msk.ru/account/3470198123/", 3470198123)</f>
        <v>3470198123</v>
      </c>
      <c r="D747" t="s">
        <v>29</v>
      </c>
      <c r="E747">
        <v>43464.43</v>
      </c>
      <c r="AX747">
        <v>6.08</v>
      </c>
      <c r="AY747">
        <v>5.83</v>
      </c>
      <c r="AZ747" t="s">
        <v>45</v>
      </c>
      <c r="BA747" t="s">
        <v>66</v>
      </c>
      <c r="BB747">
        <v>43464.43</v>
      </c>
      <c r="BC747">
        <v>43464.43</v>
      </c>
      <c r="BD747">
        <v>43464.43</v>
      </c>
      <c r="BE747">
        <v>43464.43</v>
      </c>
      <c r="BF747">
        <v>36004.92</v>
      </c>
      <c r="BG747">
        <v>12958.96</v>
      </c>
      <c r="BH747">
        <v>3565.68</v>
      </c>
      <c r="BI747">
        <v>7230.8</v>
      </c>
      <c r="BJ747">
        <v>2004.3</v>
      </c>
      <c r="BK747">
        <v>4298.83</v>
      </c>
      <c r="BL747">
        <v>10749.21</v>
      </c>
      <c r="BM747">
        <v>2656.65</v>
      </c>
      <c r="BP747" s="3">
        <v>45477</v>
      </c>
      <c r="BQ747">
        <v>21873.22</v>
      </c>
    </row>
    <row r="748" spans="1:71" x14ac:dyDescent="0.25">
      <c r="A748" t="s">
        <v>927</v>
      </c>
      <c r="B748" t="s">
        <v>98</v>
      </c>
      <c r="C748" s="2">
        <f>HYPERLINK("https://szao.dolgi.msk.ru/account/3470198051/", 3470198051)</f>
        <v>3470198051</v>
      </c>
      <c r="D748" t="s">
        <v>29</v>
      </c>
      <c r="E748">
        <v>37384.49</v>
      </c>
      <c r="AX748">
        <v>4.97</v>
      </c>
      <c r="AY748">
        <v>5.09</v>
      </c>
      <c r="AZ748" t="s">
        <v>40</v>
      </c>
      <c r="BA748" t="s">
        <v>49</v>
      </c>
      <c r="BB748">
        <v>37384.49</v>
      </c>
      <c r="BC748">
        <v>37384.49</v>
      </c>
      <c r="BD748">
        <v>37384.49</v>
      </c>
      <c r="BE748">
        <v>37384.49</v>
      </c>
      <c r="BF748">
        <v>29901.67</v>
      </c>
      <c r="BG748">
        <v>11394.83</v>
      </c>
      <c r="BH748">
        <v>3823.53</v>
      </c>
      <c r="BI748">
        <v>5006.3</v>
      </c>
      <c r="BJ748">
        <v>1357.67</v>
      </c>
      <c r="BK748">
        <v>4012.61</v>
      </c>
      <c r="BL748">
        <v>9553.7099999999991</v>
      </c>
      <c r="BM748">
        <v>2235.84</v>
      </c>
      <c r="BP748" s="3">
        <v>45643</v>
      </c>
      <c r="BQ748">
        <v>6446.57</v>
      </c>
      <c r="BR748" s="3">
        <v>45247</v>
      </c>
      <c r="BS748" t="s">
        <v>931</v>
      </c>
    </row>
    <row r="749" spans="1:71" x14ac:dyDescent="0.25">
      <c r="A749" t="s">
        <v>927</v>
      </c>
      <c r="B749" t="s">
        <v>103</v>
      </c>
      <c r="C749" s="2">
        <f>HYPERLINK("https://szao.dolgi.msk.ru/account/3470198238/", 3470198238)</f>
        <v>3470198238</v>
      </c>
      <c r="D749" t="s">
        <v>29</v>
      </c>
      <c r="E749">
        <v>415.77</v>
      </c>
      <c r="AX749">
        <v>4.13</v>
      </c>
      <c r="AY749">
        <v>0.14000000000000001</v>
      </c>
      <c r="AZ749" t="s">
        <v>40</v>
      </c>
      <c r="BA749" t="s">
        <v>49</v>
      </c>
      <c r="BB749">
        <v>415.77</v>
      </c>
      <c r="BC749">
        <v>415.77</v>
      </c>
      <c r="BD749">
        <v>12482.75</v>
      </c>
      <c r="BE749">
        <v>12482.75</v>
      </c>
      <c r="BF749">
        <v>-2573.54</v>
      </c>
      <c r="BG749">
        <v>2846.61</v>
      </c>
      <c r="BH749">
        <v>-3966.18</v>
      </c>
      <c r="BI749">
        <v>-2076.58</v>
      </c>
      <c r="BJ749">
        <v>6886.02</v>
      </c>
      <c r="BK749">
        <v>-6024.22</v>
      </c>
      <c r="BL749">
        <v>2235.16</v>
      </c>
      <c r="BM749">
        <v>514.96</v>
      </c>
      <c r="BP749" s="3">
        <v>45653</v>
      </c>
      <c r="BQ749">
        <v>2607.42</v>
      </c>
      <c r="BR749" s="3">
        <v>44943</v>
      </c>
      <c r="BS749" t="s">
        <v>932</v>
      </c>
    </row>
    <row r="750" spans="1:71" x14ac:dyDescent="0.25">
      <c r="A750" t="s">
        <v>933</v>
      </c>
      <c r="B750" t="s">
        <v>502</v>
      </c>
      <c r="C750" s="2">
        <f>HYPERLINK("https://szao.dolgi.msk.ru/account/3470547979/", 3470547979)</f>
        <v>3470547979</v>
      </c>
      <c r="D750" t="s">
        <v>29</v>
      </c>
      <c r="E750">
        <v>10049.89</v>
      </c>
      <c r="AX750">
        <v>5.45</v>
      </c>
      <c r="AY750">
        <v>4.6900000000000004</v>
      </c>
      <c r="AZ750" t="s">
        <v>45</v>
      </c>
      <c r="BA750" t="s">
        <v>49</v>
      </c>
      <c r="BB750">
        <v>10049.89</v>
      </c>
      <c r="BC750">
        <v>10049.89</v>
      </c>
      <c r="BD750">
        <v>12654.63</v>
      </c>
      <c r="BE750">
        <v>12654.63</v>
      </c>
      <c r="BF750">
        <v>8229.0499999999993</v>
      </c>
      <c r="BG750">
        <v>7133.54</v>
      </c>
      <c r="BH750">
        <v>-465.98</v>
      </c>
      <c r="BI750">
        <v>-1228.69</v>
      </c>
      <c r="BJ750">
        <v>-318.33</v>
      </c>
      <c r="BK750">
        <v>-591.74</v>
      </c>
      <c r="BL750">
        <v>4087.2</v>
      </c>
      <c r="BM750">
        <v>1433.89</v>
      </c>
      <c r="BP750" s="3">
        <v>45432</v>
      </c>
      <c r="BQ750">
        <v>1504.87</v>
      </c>
    </row>
    <row r="751" spans="1:71" x14ac:dyDescent="0.25">
      <c r="A751" t="s">
        <v>933</v>
      </c>
      <c r="B751" t="s">
        <v>293</v>
      </c>
      <c r="C751" s="2">
        <f>HYPERLINK("https://szao.dolgi.msk.ru/account/3470199425/", 3470199425)</f>
        <v>3470199425</v>
      </c>
      <c r="D751" t="s">
        <v>29</v>
      </c>
      <c r="E751">
        <v>36045.86</v>
      </c>
      <c r="AX751">
        <v>3.65</v>
      </c>
      <c r="AY751">
        <v>2.64</v>
      </c>
      <c r="AZ751" t="s">
        <v>40</v>
      </c>
      <c r="BA751" t="s">
        <v>49</v>
      </c>
      <c r="BB751">
        <v>36045.86</v>
      </c>
      <c r="BC751">
        <v>36045.86</v>
      </c>
      <c r="BD751">
        <v>40604.639999999999</v>
      </c>
      <c r="BE751">
        <v>40604.639999999999</v>
      </c>
      <c r="BF751">
        <v>23513.81</v>
      </c>
      <c r="BG751">
        <v>6365.02</v>
      </c>
      <c r="BH751">
        <v>-1899.06</v>
      </c>
      <c r="BI751">
        <v>20418.830000000002</v>
      </c>
      <c r="BJ751">
        <v>5197.37</v>
      </c>
      <c r="BK751">
        <v>-2659.72</v>
      </c>
      <c r="BL751">
        <v>4298.51</v>
      </c>
      <c r="BM751">
        <v>4324.91</v>
      </c>
      <c r="BN751">
        <v>6520.22</v>
      </c>
      <c r="BP751" s="3">
        <v>45671</v>
      </c>
      <c r="BQ751">
        <v>6520.22</v>
      </c>
      <c r="BR751" s="3">
        <v>45268</v>
      </c>
      <c r="BS751" t="s">
        <v>934</v>
      </c>
    </row>
    <row r="752" spans="1:71" x14ac:dyDescent="0.25">
      <c r="A752" t="s">
        <v>933</v>
      </c>
      <c r="B752" t="s">
        <v>207</v>
      </c>
      <c r="C752" s="2">
        <f>HYPERLINK("https://szao.dolgi.msk.ru/account/3470199839/", 3470199839)</f>
        <v>3470199839</v>
      </c>
      <c r="D752" t="s">
        <v>29</v>
      </c>
      <c r="E752">
        <v>186236.59</v>
      </c>
      <c r="AX752">
        <v>13.14</v>
      </c>
      <c r="AY752">
        <v>10.33</v>
      </c>
      <c r="AZ752" t="s">
        <v>69</v>
      </c>
      <c r="BA752" t="s">
        <v>36</v>
      </c>
      <c r="BB752">
        <v>186236.59</v>
      </c>
      <c r="BC752">
        <v>186236.59</v>
      </c>
      <c r="BD752">
        <v>186236.59</v>
      </c>
      <c r="BE752">
        <v>186236.59</v>
      </c>
      <c r="BF752">
        <v>170713.47</v>
      </c>
      <c r="BG752">
        <v>55553.05</v>
      </c>
      <c r="BH752">
        <v>16166.93</v>
      </c>
      <c r="BI752">
        <v>22250.26</v>
      </c>
      <c r="BJ752">
        <v>8819.83</v>
      </c>
      <c r="BK752">
        <v>15991.46</v>
      </c>
      <c r="BL752">
        <v>55277.94</v>
      </c>
      <c r="BM752">
        <v>12177.12</v>
      </c>
      <c r="BN752">
        <v>2002.38</v>
      </c>
      <c r="BO752">
        <v>509.92</v>
      </c>
      <c r="BP752" s="3">
        <v>45696</v>
      </c>
      <c r="BQ752">
        <v>509.92</v>
      </c>
      <c r="BR752" s="3">
        <v>45671</v>
      </c>
      <c r="BS752" t="s">
        <v>935</v>
      </c>
    </row>
    <row r="753" spans="1:71" x14ac:dyDescent="0.25">
      <c r="A753" t="s">
        <v>936</v>
      </c>
      <c r="B753" t="s">
        <v>203</v>
      </c>
      <c r="C753" s="2">
        <f>HYPERLINK("https://szao.dolgi.msk.ru/account/3470200668/", 3470200668)</f>
        <v>3470200668</v>
      </c>
      <c r="D753" t="s">
        <v>29</v>
      </c>
      <c r="E753">
        <v>35831.230000000003</v>
      </c>
      <c r="AX753">
        <v>6.46</v>
      </c>
      <c r="AY753">
        <v>6.5</v>
      </c>
      <c r="AZ753" t="s">
        <v>45</v>
      </c>
      <c r="BA753" t="s">
        <v>66</v>
      </c>
      <c r="BB753">
        <v>35831.230000000003</v>
      </c>
      <c r="BC753">
        <v>35831.230000000003</v>
      </c>
      <c r="BD753">
        <v>35831.230000000003</v>
      </c>
      <c r="BE753">
        <v>35831.230000000003</v>
      </c>
      <c r="BF753">
        <v>30316.959999999999</v>
      </c>
      <c r="BG753">
        <v>9829.68</v>
      </c>
      <c r="BH753">
        <v>2841.46</v>
      </c>
      <c r="BI753">
        <v>6957.43</v>
      </c>
      <c r="BJ753">
        <v>1944.16</v>
      </c>
      <c r="BK753">
        <v>3684.23</v>
      </c>
      <c r="BL753">
        <v>8607.5499999999993</v>
      </c>
      <c r="BM753">
        <v>1966.72</v>
      </c>
      <c r="BP753" s="3">
        <v>45469</v>
      </c>
      <c r="BQ753">
        <v>27780.44</v>
      </c>
    </row>
    <row r="754" spans="1:71" x14ac:dyDescent="0.25">
      <c r="A754" t="s">
        <v>936</v>
      </c>
      <c r="B754" t="s">
        <v>39</v>
      </c>
      <c r="C754" s="2">
        <f>HYPERLINK("https://szao.dolgi.msk.ru/account/3470200676/", 3470200676)</f>
        <v>3470200676</v>
      </c>
      <c r="D754" t="s">
        <v>29</v>
      </c>
      <c r="E754">
        <v>64285.33</v>
      </c>
      <c r="AX754">
        <v>17.760000000000002</v>
      </c>
      <c r="AY754">
        <v>20.59</v>
      </c>
      <c r="AZ754" t="s">
        <v>69</v>
      </c>
      <c r="BA754" t="s">
        <v>36</v>
      </c>
      <c r="BB754">
        <v>64285.33</v>
      </c>
      <c r="BC754">
        <v>64285.33</v>
      </c>
      <c r="BD754">
        <v>64285.33</v>
      </c>
      <c r="BE754">
        <v>64285.33</v>
      </c>
      <c r="BF754">
        <v>61573.82</v>
      </c>
      <c r="BG754">
        <v>13070.28</v>
      </c>
      <c r="BH754">
        <v>2129.17</v>
      </c>
      <c r="BI754">
        <v>21758.52</v>
      </c>
      <c r="BJ754">
        <v>5570</v>
      </c>
      <c r="BK754">
        <v>8778.65</v>
      </c>
      <c r="BL754">
        <v>10007.57</v>
      </c>
      <c r="BM754">
        <v>2971.14</v>
      </c>
      <c r="BP754" s="3">
        <v>45667</v>
      </c>
      <c r="BQ754">
        <v>3596</v>
      </c>
      <c r="BR754" s="3">
        <v>45559</v>
      </c>
      <c r="BS754" t="s">
        <v>937</v>
      </c>
    </row>
    <row r="755" spans="1:71" x14ac:dyDescent="0.25">
      <c r="A755" t="s">
        <v>936</v>
      </c>
      <c r="B755" t="s">
        <v>220</v>
      </c>
      <c r="C755" s="2">
        <f>HYPERLINK("https://szao.dolgi.msk.ru/account/3470200721/", 3470200721)</f>
        <v>3470200721</v>
      </c>
      <c r="D755" t="s">
        <v>29</v>
      </c>
      <c r="E755">
        <v>37345.360000000001</v>
      </c>
      <c r="AX755">
        <v>13</v>
      </c>
      <c r="AY755">
        <v>11.13</v>
      </c>
      <c r="AZ755" t="s">
        <v>40</v>
      </c>
      <c r="BA755" t="s">
        <v>36</v>
      </c>
      <c r="BB755">
        <v>37345.360000000001</v>
      </c>
      <c r="BC755">
        <v>37345.360000000001</v>
      </c>
      <c r="BD755">
        <v>37345.360000000001</v>
      </c>
      <c r="BE755">
        <v>37345.360000000001</v>
      </c>
      <c r="BF755">
        <v>34087.93</v>
      </c>
      <c r="BG755">
        <v>5353.2</v>
      </c>
      <c r="BH755">
        <v>1374.93</v>
      </c>
      <c r="BI755">
        <v>21417.02</v>
      </c>
      <c r="BJ755">
        <v>2277.4899999999998</v>
      </c>
      <c r="BK755">
        <v>2490.33</v>
      </c>
      <c r="BL755">
        <v>2329.83</v>
      </c>
      <c r="BM755">
        <v>2102.56</v>
      </c>
      <c r="BN755">
        <v>5287.54</v>
      </c>
      <c r="BP755" s="3">
        <v>45683</v>
      </c>
      <c r="BQ755">
        <v>2415.2600000000002</v>
      </c>
      <c r="BR755" s="3">
        <v>45688</v>
      </c>
      <c r="BS755" t="s">
        <v>938</v>
      </c>
    </row>
    <row r="756" spans="1:71" x14ac:dyDescent="0.25">
      <c r="A756" t="s">
        <v>939</v>
      </c>
      <c r="B756" t="s">
        <v>376</v>
      </c>
      <c r="C756" s="2">
        <f>HYPERLINK("https://szao.dolgi.msk.ru/account/3470323158/", 3470323158)</f>
        <v>3470323158</v>
      </c>
      <c r="D756" t="s">
        <v>29</v>
      </c>
      <c r="E756">
        <v>13524.36</v>
      </c>
      <c r="AX756">
        <v>2.63</v>
      </c>
      <c r="AY756">
        <v>2.6</v>
      </c>
      <c r="AZ756" t="s">
        <v>488</v>
      </c>
      <c r="BA756" t="s">
        <v>31</v>
      </c>
      <c r="BB756">
        <v>13524.36</v>
      </c>
      <c r="BC756">
        <v>13524.36</v>
      </c>
      <c r="BD756">
        <v>13524.36</v>
      </c>
      <c r="BE756">
        <v>13524.36</v>
      </c>
      <c r="BF756">
        <v>8774.26</v>
      </c>
      <c r="BG756">
        <v>3876.96</v>
      </c>
      <c r="BH756">
        <v>1244.1300000000001</v>
      </c>
      <c r="BI756">
        <v>3022.65</v>
      </c>
      <c r="BJ756">
        <v>851.25</v>
      </c>
      <c r="BK756">
        <v>1608.69</v>
      </c>
      <c r="BL756">
        <v>2186.4899999999998</v>
      </c>
      <c r="BM756">
        <v>734.19</v>
      </c>
      <c r="BP756" s="3">
        <v>45610</v>
      </c>
      <c r="BQ756">
        <v>4387.13</v>
      </c>
      <c r="BR756" s="3">
        <v>45555</v>
      </c>
      <c r="BS756" t="s">
        <v>940</v>
      </c>
    </row>
    <row r="757" spans="1:71" x14ac:dyDescent="0.25">
      <c r="A757" t="s">
        <v>939</v>
      </c>
      <c r="B757" t="s">
        <v>131</v>
      </c>
      <c r="C757" s="2">
        <f>HYPERLINK("https://szao.dolgi.msk.ru/account/3470201679/", 3470201679)</f>
        <v>3470201679</v>
      </c>
      <c r="D757" t="s">
        <v>29</v>
      </c>
      <c r="E757">
        <v>881911.49</v>
      </c>
      <c r="AX757">
        <v>28.57</v>
      </c>
      <c r="AY757">
        <v>25.49</v>
      </c>
      <c r="AZ757" t="s">
        <v>56</v>
      </c>
      <c r="BA757" t="s">
        <v>36</v>
      </c>
      <c r="BB757">
        <v>881911.49</v>
      </c>
      <c r="BC757">
        <v>881911.49</v>
      </c>
      <c r="BD757">
        <v>881911.49</v>
      </c>
      <c r="BE757">
        <v>881911.49</v>
      </c>
      <c r="BF757">
        <v>847313.33</v>
      </c>
      <c r="BG757">
        <v>114153.96</v>
      </c>
      <c r="BH757">
        <v>99028.92</v>
      </c>
      <c r="BI757">
        <v>315457.46000000002</v>
      </c>
      <c r="BJ757">
        <v>84850.02</v>
      </c>
      <c r="BK757">
        <v>134780.01999999999</v>
      </c>
      <c r="BL757">
        <v>114295.47</v>
      </c>
      <c r="BM757">
        <v>19345.64</v>
      </c>
      <c r="BP757" s="3">
        <v>45667</v>
      </c>
      <c r="BQ757">
        <v>350</v>
      </c>
      <c r="BR757" s="3">
        <v>45692</v>
      </c>
      <c r="BS757" t="s">
        <v>128</v>
      </c>
    </row>
    <row r="758" spans="1:71" x14ac:dyDescent="0.25">
      <c r="A758" t="s">
        <v>939</v>
      </c>
      <c r="B758" t="s">
        <v>39</v>
      </c>
      <c r="C758" s="2">
        <f>HYPERLINK("https://szao.dolgi.msk.ru/account/3470201724/", 3470201724)</f>
        <v>3470201724</v>
      </c>
      <c r="D758" t="s">
        <v>29</v>
      </c>
      <c r="E758">
        <v>115872.14</v>
      </c>
      <c r="AX758">
        <v>15.65</v>
      </c>
      <c r="AY758">
        <v>18.329999999999998</v>
      </c>
      <c r="AZ758" t="s">
        <v>30</v>
      </c>
      <c r="BA758" t="s">
        <v>36</v>
      </c>
      <c r="BB758">
        <v>115872.14</v>
      </c>
      <c r="BC758">
        <v>115872.14</v>
      </c>
      <c r="BD758">
        <v>115872.14</v>
      </c>
      <c r="BE758">
        <v>115872.14</v>
      </c>
      <c r="BF758">
        <v>109551.14</v>
      </c>
      <c r="BG758">
        <v>25048.99</v>
      </c>
      <c r="BH758">
        <v>6251.67</v>
      </c>
      <c r="BI758">
        <v>37307.06</v>
      </c>
      <c r="BJ758">
        <v>10027.33</v>
      </c>
      <c r="BK758">
        <v>12713.65</v>
      </c>
      <c r="BL758">
        <v>20137.259999999998</v>
      </c>
      <c r="BM758">
        <v>4386.18</v>
      </c>
      <c r="BP758" s="3">
        <v>45636</v>
      </c>
      <c r="BQ758">
        <v>38686.620000000003</v>
      </c>
    </row>
    <row r="759" spans="1:71" x14ac:dyDescent="0.25">
      <c r="A759" t="s">
        <v>941</v>
      </c>
      <c r="B759" t="s">
        <v>364</v>
      </c>
      <c r="C759" s="2">
        <f>HYPERLINK("https://szao.dolgi.msk.ru/account/3470201855/", 3470201855)</f>
        <v>3470201855</v>
      </c>
      <c r="D759" t="s">
        <v>29</v>
      </c>
      <c r="E759">
        <v>188419.96</v>
      </c>
      <c r="AX759">
        <v>82.59</v>
      </c>
      <c r="AY759">
        <v>100.08</v>
      </c>
      <c r="AZ759" t="s">
        <v>56</v>
      </c>
      <c r="BA759" t="s">
        <v>36</v>
      </c>
      <c r="BB759">
        <v>188419.96</v>
      </c>
      <c r="BC759">
        <v>188419.96</v>
      </c>
      <c r="BD759">
        <v>188419.96</v>
      </c>
      <c r="BE759">
        <v>188419.96</v>
      </c>
      <c r="BF759">
        <v>186537.24</v>
      </c>
      <c r="BG759">
        <v>46573.63</v>
      </c>
      <c r="BH759">
        <v>20887.03</v>
      </c>
      <c r="BI759">
        <v>40876.949999999997</v>
      </c>
      <c r="BJ759">
        <v>18350.2</v>
      </c>
      <c r="BK759">
        <v>31471.46</v>
      </c>
      <c r="BL759">
        <v>25268.07</v>
      </c>
      <c r="BM759">
        <v>4992.62</v>
      </c>
      <c r="BP759" s="3">
        <v>45626</v>
      </c>
      <c r="BQ759">
        <v>0</v>
      </c>
      <c r="BR759" s="3">
        <v>45691</v>
      </c>
      <c r="BS759" t="s">
        <v>942</v>
      </c>
    </row>
    <row r="760" spans="1:71" x14ac:dyDescent="0.25">
      <c r="A760" t="s">
        <v>941</v>
      </c>
      <c r="B760" t="s">
        <v>550</v>
      </c>
      <c r="C760" s="2">
        <f>HYPERLINK("https://szao.dolgi.msk.ru/account/3470201898/", 3470201898)</f>
        <v>3470201898</v>
      </c>
      <c r="D760" t="s">
        <v>29</v>
      </c>
      <c r="E760">
        <v>28068.83</v>
      </c>
      <c r="AX760">
        <v>4.1100000000000003</v>
      </c>
      <c r="AY760">
        <v>3.93</v>
      </c>
      <c r="AZ760" t="s">
        <v>40</v>
      </c>
      <c r="BA760" t="s">
        <v>49</v>
      </c>
      <c r="BB760">
        <v>28068.83</v>
      </c>
      <c r="BC760">
        <v>27603.37</v>
      </c>
      <c r="BD760">
        <v>28068.83</v>
      </c>
      <c r="BE760">
        <v>27603.37</v>
      </c>
      <c r="BF760">
        <v>20931.330000000002</v>
      </c>
      <c r="BG760">
        <v>7553.22</v>
      </c>
      <c r="BH760">
        <v>2454.42</v>
      </c>
      <c r="BI760">
        <v>6017.07</v>
      </c>
      <c r="BJ760">
        <v>1679.33</v>
      </c>
      <c r="BK760">
        <v>3183.74</v>
      </c>
      <c r="BL760">
        <v>5635.99</v>
      </c>
      <c r="BM760">
        <v>1545.06</v>
      </c>
      <c r="BP760" s="3">
        <v>45617</v>
      </c>
      <c r="BQ760">
        <v>7053.49</v>
      </c>
      <c r="BR760" s="3">
        <v>45509</v>
      </c>
      <c r="BS760" t="s">
        <v>943</v>
      </c>
    </row>
    <row r="761" spans="1:71" x14ac:dyDescent="0.25">
      <c r="A761" t="s">
        <v>941</v>
      </c>
      <c r="B761" t="s">
        <v>374</v>
      </c>
      <c r="C761" s="2">
        <f>HYPERLINK("https://szao.dolgi.msk.ru/account/3470202065/", 3470202065)</f>
        <v>3470202065</v>
      </c>
      <c r="D761" t="s">
        <v>29</v>
      </c>
      <c r="E761">
        <v>23240.66</v>
      </c>
      <c r="AX761">
        <v>4.54</v>
      </c>
      <c r="AY761">
        <v>5.43</v>
      </c>
      <c r="AZ761" t="s">
        <v>40</v>
      </c>
      <c r="BA761" t="s">
        <v>49</v>
      </c>
      <c r="BB761">
        <v>23240.66</v>
      </c>
      <c r="BC761">
        <v>23240.66</v>
      </c>
      <c r="BD761">
        <v>23240.66</v>
      </c>
      <c r="BE761">
        <v>23240.66</v>
      </c>
      <c r="BF761">
        <v>18959.63</v>
      </c>
      <c r="BG761">
        <v>3106.13</v>
      </c>
      <c r="BH761">
        <v>9209.2000000000007</v>
      </c>
      <c r="BI761">
        <v>637.02</v>
      </c>
      <c r="BJ761">
        <v>179.4</v>
      </c>
      <c r="BK761">
        <v>7207.87</v>
      </c>
      <c r="BL761">
        <v>2339.12</v>
      </c>
      <c r="BM761">
        <v>561.91999999999996</v>
      </c>
      <c r="BP761" s="3">
        <v>45667</v>
      </c>
      <c r="BQ761">
        <v>6312.67</v>
      </c>
      <c r="BR761" s="3">
        <v>44804</v>
      </c>
      <c r="BS761" t="s">
        <v>944</v>
      </c>
    </row>
    <row r="762" spans="1:71" x14ac:dyDescent="0.25">
      <c r="A762" t="s">
        <v>941</v>
      </c>
      <c r="B762" t="s">
        <v>280</v>
      </c>
      <c r="C762" s="2">
        <f>HYPERLINK("https://szao.dolgi.msk.ru/account/3470202233/", 3470202233)</f>
        <v>3470202233</v>
      </c>
      <c r="D762" t="s">
        <v>29</v>
      </c>
      <c r="E762">
        <v>255461.32</v>
      </c>
      <c r="AX762">
        <v>15.49</v>
      </c>
      <c r="AY762">
        <v>13.41</v>
      </c>
      <c r="AZ762" t="s">
        <v>56</v>
      </c>
      <c r="BA762" t="s">
        <v>36</v>
      </c>
      <c r="BB762">
        <v>255461.32</v>
      </c>
      <c r="BC762">
        <v>255461.32</v>
      </c>
      <c r="BD762">
        <v>255782.39999999999</v>
      </c>
      <c r="BE762">
        <v>255782.39999999999</v>
      </c>
      <c r="BF762">
        <v>236417.43</v>
      </c>
      <c r="BG762">
        <v>61069.760000000002</v>
      </c>
      <c r="BH762">
        <v>-321.08</v>
      </c>
      <c r="BI762">
        <v>89638.36</v>
      </c>
      <c r="BJ762">
        <v>24658.21</v>
      </c>
      <c r="BK762">
        <v>20500.900000000001</v>
      </c>
      <c r="BL762">
        <v>49413.41</v>
      </c>
      <c r="BM762">
        <v>10501.76</v>
      </c>
      <c r="BP762" s="3">
        <v>45667</v>
      </c>
      <c r="BQ762">
        <v>13.57</v>
      </c>
      <c r="BR762" s="3">
        <v>45082</v>
      </c>
      <c r="BS762" t="s">
        <v>945</v>
      </c>
    </row>
    <row r="763" spans="1:71" x14ac:dyDescent="0.25">
      <c r="A763" t="s">
        <v>941</v>
      </c>
      <c r="B763" t="s">
        <v>197</v>
      </c>
      <c r="C763" s="2">
        <f>HYPERLINK("https://szao.dolgi.msk.ru/account/3470202305/", 3470202305)</f>
        <v>3470202305</v>
      </c>
      <c r="D763" t="s">
        <v>29</v>
      </c>
      <c r="E763">
        <v>44303.199999999997</v>
      </c>
      <c r="AX763">
        <v>4.7699999999999996</v>
      </c>
      <c r="AY763">
        <v>4.78</v>
      </c>
      <c r="AZ763" t="s">
        <v>69</v>
      </c>
      <c r="BA763" t="s">
        <v>49</v>
      </c>
      <c r="BB763">
        <v>44303.199999999997</v>
      </c>
      <c r="BC763">
        <v>44303.199999999997</v>
      </c>
      <c r="BD763">
        <v>44303.199999999997</v>
      </c>
      <c r="BE763">
        <v>44303.199999999997</v>
      </c>
      <c r="BF763">
        <v>35025.64</v>
      </c>
      <c r="BG763">
        <v>8930</v>
      </c>
      <c r="BH763">
        <v>2073.5500000000002</v>
      </c>
      <c r="BI763">
        <v>15113.3</v>
      </c>
      <c r="BJ763">
        <v>4256.25</v>
      </c>
      <c r="BK763">
        <v>4859.6000000000004</v>
      </c>
      <c r="BL763">
        <v>7313.6</v>
      </c>
      <c r="BM763">
        <v>1756.9</v>
      </c>
      <c r="BP763" s="3">
        <v>45545</v>
      </c>
      <c r="BQ763">
        <v>24929.18</v>
      </c>
      <c r="BR763" s="3">
        <v>44942</v>
      </c>
      <c r="BS763" t="s">
        <v>946</v>
      </c>
    </row>
    <row r="764" spans="1:71" x14ac:dyDescent="0.25">
      <c r="A764" t="s">
        <v>947</v>
      </c>
      <c r="B764" t="s">
        <v>152</v>
      </c>
      <c r="C764" s="2">
        <f>HYPERLINK("https://szao.dolgi.msk.ru/account/3470202778/", 3470202778)</f>
        <v>3470202778</v>
      </c>
      <c r="D764" t="s">
        <v>29</v>
      </c>
      <c r="E764">
        <v>12024.18</v>
      </c>
      <c r="AX764">
        <v>2.73</v>
      </c>
      <c r="AY764">
        <v>2.72</v>
      </c>
      <c r="AZ764" t="s">
        <v>40</v>
      </c>
      <c r="BA764" t="s">
        <v>31</v>
      </c>
      <c r="BB764">
        <v>12024.18</v>
      </c>
      <c r="BC764">
        <v>12024.18</v>
      </c>
      <c r="BD764">
        <v>12024.18</v>
      </c>
      <c r="BE764">
        <v>12024.18</v>
      </c>
      <c r="BF764">
        <v>7397.12</v>
      </c>
      <c r="BG764">
        <v>4392.74</v>
      </c>
      <c r="BH764">
        <v>512.9</v>
      </c>
      <c r="BI764">
        <v>514.09</v>
      </c>
      <c r="BJ764">
        <v>142.11000000000001</v>
      </c>
      <c r="BK764">
        <v>495.25</v>
      </c>
      <c r="BL764">
        <v>5135.22</v>
      </c>
      <c r="BM764">
        <v>831.87</v>
      </c>
      <c r="BP764" s="3">
        <v>45667</v>
      </c>
      <c r="BQ764">
        <v>3845.66</v>
      </c>
    </row>
    <row r="765" spans="1:71" x14ac:dyDescent="0.25">
      <c r="A765" t="s">
        <v>947</v>
      </c>
      <c r="B765" t="s">
        <v>385</v>
      </c>
      <c r="C765" s="2">
        <f>HYPERLINK("https://szao.dolgi.msk.ru/account/3470203703/", 3470203703)</f>
        <v>3470203703</v>
      </c>
      <c r="D765" t="s">
        <v>29</v>
      </c>
      <c r="E765">
        <v>25626.68</v>
      </c>
      <c r="AX765">
        <v>3.21</v>
      </c>
      <c r="AY765">
        <v>3.29</v>
      </c>
      <c r="AZ765" t="s">
        <v>30</v>
      </c>
      <c r="BA765" t="s">
        <v>49</v>
      </c>
      <c r="BB765">
        <v>25626.68</v>
      </c>
      <c r="BC765">
        <v>25626.68</v>
      </c>
      <c r="BD765">
        <v>25626.68</v>
      </c>
      <c r="BE765">
        <v>25626.68</v>
      </c>
      <c r="BF765">
        <v>17838.740000000002</v>
      </c>
      <c r="BG765">
        <v>3893.05</v>
      </c>
      <c r="BH765">
        <v>4199.42</v>
      </c>
      <c r="BI765">
        <v>6039.43</v>
      </c>
      <c r="BJ765">
        <v>1700.84</v>
      </c>
      <c r="BK765">
        <v>4505.63</v>
      </c>
      <c r="BL765">
        <v>4551.0600000000004</v>
      </c>
      <c r="BM765">
        <v>737.25</v>
      </c>
      <c r="BP765" s="3">
        <v>45609</v>
      </c>
      <c r="BQ765">
        <v>9389.34</v>
      </c>
    </row>
    <row r="766" spans="1:71" x14ac:dyDescent="0.25">
      <c r="A766" t="s">
        <v>947</v>
      </c>
      <c r="B766" t="s">
        <v>95</v>
      </c>
      <c r="C766" s="2">
        <f>HYPERLINK("https://szao.dolgi.msk.ru/account/3470204968/", 3470204968)</f>
        <v>3470204968</v>
      </c>
      <c r="D766" t="s">
        <v>29</v>
      </c>
      <c r="E766">
        <v>13892.36</v>
      </c>
      <c r="AX766">
        <v>2.25</v>
      </c>
      <c r="AY766">
        <v>2.34</v>
      </c>
      <c r="AZ766" t="s">
        <v>40</v>
      </c>
      <c r="BA766" t="s">
        <v>31</v>
      </c>
      <c r="BB766">
        <v>13892.36</v>
      </c>
      <c r="BC766">
        <v>13892.36</v>
      </c>
      <c r="BD766">
        <v>13892.36</v>
      </c>
      <c r="BE766">
        <v>13892.36</v>
      </c>
      <c r="BF766">
        <v>7967.47</v>
      </c>
      <c r="BG766">
        <v>2781.73</v>
      </c>
      <c r="BH766">
        <v>662.69</v>
      </c>
      <c r="BI766">
        <v>4087.46</v>
      </c>
      <c r="BJ766">
        <v>1165.5</v>
      </c>
      <c r="BK766">
        <v>1585.24</v>
      </c>
      <c r="BL766">
        <v>3106.5</v>
      </c>
      <c r="BM766">
        <v>503.24</v>
      </c>
      <c r="BP766" s="3">
        <v>45653</v>
      </c>
      <c r="BQ766">
        <v>5127.0200000000004</v>
      </c>
    </row>
    <row r="767" spans="1:71" x14ac:dyDescent="0.25">
      <c r="A767" t="s">
        <v>947</v>
      </c>
      <c r="B767" t="s">
        <v>27</v>
      </c>
      <c r="C767" s="2">
        <f>HYPERLINK("https://szao.dolgi.msk.ru/account/3470205135/", 3470205135)</f>
        <v>3470205135</v>
      </c>
      <c r="D767" t="s">
        <v>29</v>
      </c>
      <c r="E767">
        <v>13588.22</v>
      </c>
      <c r="AX767">
        <v>2.27</v>
      </c>
      <c r="AY767">
        <v>2.37</v>
      </c>
      <c r="AZ767" t="s">
        <v>30</v>
      </c>
      <c r="BA767" t="s">
        <v>31</v>
      </c>
      <c r="BB767">
        <v>13588.22</v>
      </c>
      <c r="BC767">
        <v>13588.22</v>
      </c>
      <c r="BD767">
        <v>13588.22</v>
      </c>
      <c r="BE767">
        <v>13588.22</v>
      </c>
      <c r="BF767">
        <v>8339</v>
      </c>
      <c r="BG767">
        <v>2368.12</v>
      </c>
      <c r="BH767">
        <v>558.32000000000005</v>
      </c>
      <c r="BI767">
        <v>5479.45</v>
      </c>
      <c r="BJ767">
        <v>1487.67</v>
      </c>
      <c r="BK767">
        <v>1591.04</v>
      </c>
      <c r="BL767">
        <v>1675.22</v>
      </c>
      <c r="BM767">
        <v>428.4</v>
      </c>
      <c r="BP767" s="3">
        <v>45667</v>
      </c>
      <c r="BQ767">
        <v>5001.3999999999996</v>
      </c>
    </row>
    <row r="768" spans="1:71" x14ac:dyDescent="0.25">
      <c r="A768" t="s">
        <v>947</v>
      </c>
      <c r="B768" t="s">
        <v>124</v>
      </c>
      <c r="C768" s="2">
        <f>HYPERLINK("https://szao.dolgi.msk.ru/account/3470205485/", 3470205485)</f>
        <v>3470205485</v>
      </c>
      <c r="D768" t="s">
        <v>29</v>
      </c>
      <c r="E768">
        <v>209661.6</v>
      </c>
      <c r="AX768">
        <v>48.77</v>
      </c>
      <c r="AY768">
        <v>49</v>
      </c>
      <c r="AZ768" t="s">
        <v>30</v>
      </c>
      <c r="BA768" t="s">
        <v>36</v>
      </c>
      <c r="BB768">
        <v>209661.6</v>
      </c>
      <c r="BC768">
        <v>209661.6</v>
      </c>
      <c r="BD768">
        <v>209661.6</v>
      </c>
      <c r="BE768">
        <v>209661.6</v>
      </c>
      <c r="BF768">
        <v>205383.15</v>
      </c>
      <c r="BG768">
        <v>32611.5</v>
      </c>
      <c r="BH768">
        <v>20523.990000000002</v>
      </c>
      <c r="BI768">
        <v>56734.64</v>
      </c>
      <c r="BJ768">
        <v>17529.25</v>
      </c>
      <c r="BK768">
        <v>26723.99</v>
      </c>
      <c r="BL768">
        <v>46161.68</v>
      </c>
      <c r="BM768">
        <v>9376.5499999999993</v>
      </c>
      <c r="BN768">
        <v>5000</v>
      </c>
      <c r="BP768" s="3">
        <v>45683</v>
      </c>
      <c r="BQ768">
        <v>5000</v>
      </c>
      <c r="BR768" s="3">
        <v>45670</v>
      </c>
      <c r="BS768" t="s">
        <v>948</v>
      </c>
    </row>
    <row r="769" spans="1:71" x14ac:dyDescent="0.25">
      <c r="A769" t="s">
        <v>947</v>
      </c>
      <c r="B769" t="s">
        <v>414</v>
      </c>
      <c r="C769" s="2">
        <f>HYPERLINK("https://szao.dolgi.msk.ru/account/3470205645/", 3470205645)</f>
        <v>3470205645</v>
      </c>
      <c r="D769" t="s">
        <v>29</v>
      </c>
      <c r="E769">
        <v>4488.05</v>
      </c>
      <c r="AX769">
        <v>21.48</v>
      </c>
      <c r="AY769">
        <v>1.85</v>
      </c>
      <c r="AZ769" t="s">
        <v>40</v>
      </c>
      <c r="BA769" t="s">
        <v>36</v>
      </c>
      <c r="BB769">
        <v>4488.05</v>
      </c>
      <c r="BC769">
        <v>4488.05</v>
      </c>
      <c r="BD769">
        <v>4583.96</v>
      </c>
      <c r="BE769">
        <v>4583.96</v>
      </c>
      <c r="BF769">
        <v>2062.25</v>
      </c>
      <c r="BG769">
        <v>1995.06</v>
      </c>
      <c r="BH769">
        <v>-25.46</v>
      </c>
      <c r="BI769">
        <v>-15.87</v>
      </c>
      <c r="BJ769">
        <v>-17.329999999999998</v>
      </c>
      <c r="BK769">
        <v>-37.25</v>
      </c>
      <c r="BL769">
        <v>2227.98</v>
      </c>
      <c r="BM769">
        <v>360.92</v>
      </c>
      <c r="BP769" s="3">
        <v>45653</v>
      </c>
      <c r="BQ769">
        <v>2158.16</v>
      </c>
    </row>
    <row r="770" spans="1:71" x14ac:dyDescent="0.25">
      <c r="A770" t="s">
        <v>947</v>
      </c>
      <c r="B770" t="s">
        <v>33</v>
      </c>
      <c r="C770" s="2">
        <f>HYPERLINK("https://szao.dolgi.msk.ru/account/3470205733/", 3470205733)</f>
        <v>3470205733</v>
      </c>
      <c r="D770" t="s">
        <v>29</v>
      </c>
      <c r="E770">
        <v>116969.25</v>
      </c>
      <c r="AX770">
        <v>9.56</v>
      </c>
      <c r="AY770">
        <v>7.87</v>
      </c>
      <c r="AZ770" t="s">
        <v>45</v>
      </c>
      <c r="BA770" t="s">
        <v>63</v>
      </c>
      <c r="BB770">
        <v>116969.25</v>
      </c>
      <c r="BC770">
        <v>116969.25</v>
      </c>
      <c r="BD770">
        <v>116969.25</v>
      </c>
      <c r="BE770">
        <v>116969.25</v>
      </c>
      <c r="BF770">
        <v>102839.67999999999</v>
      </c>
      <c r="BG770">
        <v>23503.73</v>
      </c>
      <c r="BH770">
        <v>7374.04</v>
      </c>
      <c r="BI770">
        <v>44514.25</v>
      </c>
      <c r="BJ770">
        <v>13730.69</v>
      </c>
      <c r="BK770">
        <v>13824.86</v>
      </c>
      <c r="BL770">
        <v>11120.31</v>
      </c>
      <c r="BM770">
        <v>2901.37</v>
      </c>
      <c r="BN770">
        <v>0</v>
      </c>
      <c r="BP770" s="3">
        <v>45679</v>
      </c>
      <c r="BQ770">
        <v>0</v>
      </c>
      <c r="BR770" s="3">
        <v>44999</v>
      </c>
      <c r="BS770" t="s">
        <v>949</v>
      </c>
    </row>
    <row r="771" spans="1:71" x14ac:dyDescent="0.25">
      <c r="A771" t="s">
        <v>947</v>
      </c>
      <c r="B771" t="s">
        <v>428</v>
      </c>
      <c r="C771" s="2">
        <f>HYPERLINK("https://szao.dolgi.msk.ru/account/3470202938/", 3470202938)</f>
        <v>3470202938</v>
      </c>
      <c r="D771" t="s">
        <v>29</v>
      </c>
      <c r="E771">
        <v>14154.01</v>
      </c>
      <c r="AX771">
        <v>2.87</v>
      </c>
      <c r="AY771">
        <v>2.88</v>
      </c>
      <c r="AZ771" t="s">
        <v>69</v>
      </c>
      <c r="BA771" t="s">
        <v>31</v>
      </c>
      <c r="BB771">
        <v>14154.01</v>
      </c>
      <c r="BC771">
        <v>14154.01</v>
      </c>
      <c r="BD771">
        <v>14154.01</v>
      </c>
      <c r="BE771">
        <v>14154.01</v>
      </c>
      <c r="BF771">
        <v>9239.44</v>
      </c>
      <c r="BG771">
        <v>3149.29</v>
      </c>
      <c r="BH771">
        <v>1244.1300000000001</v>
      </c>
      <c r="BI771">
        <v>3022.65</v>
      </c>
      <c r="BJ771">
        <v>851.25</v>
      </c>
      <c r="BK771">
        <v>1608.69</v>
      </c>
      <c r="BL771">
        <v>3681.6</v>
      </c>
      <c r="BM771">
        <v>596.4</v>
      </c>
      <c r="BP771" s="3">
        <v>45594</v>
      </c>
      <c r="BQ771">
        <v>21798.99</v>
      </c>
    </row>
    <row r="772" spans="1:71" x14ac:dyDescent="0.25">
      <c r="A772" t="s">
        <v>947</v>
      </c>
      <c r="B772" t="s">
        <v>950</v>
      </c>
      <c r="C772" s="2">
        <f>HYPERLINK("https://szao.dolgi.msk.ru/account/3470202962/", 3470202962)</f>
        <v>3470202962</v>
      </c>
      <c r="D772" t="s">
        <v>29</v>
      </c>
      <c r="E772">
        <v>57006.32</v>
      </c>
      <c r="AX772">
        <v>18.09</v>
      </c>
      <c r="AY772">
        <v>15.8</v>
      </c>
      <c r="AZ772" t="s">
        <v>40</v>
      </c>
      <c r="BA772" t="s">
        <v>36</v>
      </c>
      <c r="BB772">
        <v>57006.32</v>
      </c>
      <c r="BC772">
        <v>57006.32</v>
      </c>
      <c r="BD772">
        <v>57006.32</v>
      </c>
      <c r="BE772">
        <v>57006.32</v>
      </c>
      <c r="BF772">
        <v>53397.98</v>
      </c>
      <c r="BG772">
        <v>6759.86</v>
      </c>
      <c r="BH772">
        <v>5600.57</v>
      </c>
      <c r="BI772">
        <v>19823.21</v>
      </c>
      <c r="BJ772">
        <v>5864.91</v>
      </c>
      <c r="BK772">
        <v>2647.38</v>
      </c>
      <c r="BL772">
        <v>12231.75</v>
      </c>
      <c r="BM772">
        <v>4078.64</v>
      </c>
      <c r="BP772" s="3">
        <v>45653</v>
      </c>
      <c r="BQ772">
        <v>8150</v>
      </c>
      <c r="BR772" s="3">
        <v>45523</v>
      </c>
      <c r="BS772" t="s">
        <v>951</v>
      </c>
    </row>
    <row r="773" spans="1:71" x14ac:dyDescent="0.25">
      <c r="A773" t="s">
        <v>947</v>
      </c>
      <c r="B773" t="s">
        <v>217</v>
      </c>
      <c r="C773" s="2">
        <f>HYPERLINK("https://szao.dolgi.msk.ru/account/3470203615/", 3470203615)</f>
        <v>3470203615</v>
      </c>
      <c r="D773" t="s">
        <v>29</v>
      </c>
      <c r="E773">
        <v>50022.82</v>
      </c>
      <c r="AX773">
        <v>5.13</v>
      </c>
      <c r="AY773">
        <v>5.2</v>
      </c>
      <c r="AZ773" t="s">
        <v>35</v>
      </c>
      <c r="BA773" t="s">
        <v>49</v>
      </c>
      <c r="BB773">
        <v>50022.82</v>
      </c>
      <c r="BC773">
        <v>50022.82</v>
      </c>
      <c r="BD773">
        <v>50022.82</v>
      </c>
      <c r="BE773">
        <v>50022.82</v>
      </c>
      <c r="BF773">
        <v>40406.800000000003</v>
      </c>
      <c r="BG773">
        <v>5462.39</v>
      </c>
      <c r="BH773">
        <v>6717.77</v>
      </c>
      <c r="BI773">
        <v>16990.88</v>
      </c>
      <c r="BJ773">
        <v>4602.46</v>
      </c>
      <c r="BK773">
        <v>8818.35</v>
      </c>
      <c r="BL773">
        <v>6359.84</v>
      </c>
      <c r="BM773">
        <v>1071.1300000000001</v>
      </c>
      <c r="BN773">
        <v>9297.23</v>
      </c>
      <c r="BP773" s="3">
        <v>45670</v>
      </c>
      <c r="BQ773">
        <v>9297.23</v>
      </c>
      <c r="BR773" s="3">
        <v>45229</v>
      </c>
      <c r="BS773" t="s">
        <v>952</v>
      </c>
    </row>
    <row r="774" spans="1:71" x14ac:dyDescent="0.25">
      <c r="A774" t="s">
        <v>947</v>
      </c>
      <c r="B774" t="s">
        <v>905</v>
      </c>
      <c r="C774" s="2">
        <f>HYPERLINK("https://szao.dolgi.msk.ru/account/3470532822/", 3470532822)</f>
        <v>3470532822</v>
      </c>
      <c r="D774" t="s">
        <v>29</v>
      </c>
      <c r="E774">
        <v>398833.35</v>
      </c>
      <c r="AX774">
        <v>22.1</v>
      </c>
      <c r="AY774">
        <v>18.850000000000001</v>
      </c>
      <c r="AZ774" t="s">
        <v>45</v>
      </c>
      <c r="BA774" t="s">
        <v>36</v>
      </c>
      <c r="BB774">
        <v>398833.35</v>
      </c>
      <c r="BC774">
        <v>398833.35</v>
      </c>
      <c r="BD774">
        <v>398833.35</v>
      </c>
      <c r="BE774">
        <v>398833.35</v>
      </c>
      <c r="BF774">
        <v>377674.64</v>
      </c>
      <c r="BG774">
        <v>64740.26</v>
      </c>
      <c r="BH774">
        <v>42121.86</v>
      </c>
      <c r="BI774">
        <v>97255.43</v>
      </c>
      <c r="BJ774">
        <v>33832.11</v>
      </c>
      <c r="BK774">
        <v>52870.35</v>
      </c>
      <c r="BL774">
        <v>93891.81</v>
      </c>
      <c r="BM774">
        <v>14121.53</v>
      </c>
      <c r="BP774" s="3">
        <v>45596</v>
      </c>
      <c r="BQ774">
        <v>0</v>
      </c>
      <c r="BR774" s="3">
        <v>45671</v>
      </c>
      <c r="BS774" t="s">
        <v>953</v>
      </c>
    </row>
    <row r="775" spans="1:71" x14ac:dyDescent="0.25">
      <c r="A775" t="s">
        <v>947</v>
      </c>
      <c r="B775" t="s">
        <v>954</v>
      </c>
      <c r="C775" s="2">
        <f>HYPERLINK("https://szao.dolgi.msk.ru/account/3470204159/", 3470204159)</f>
        <v>3470204159</v>
      </c>
      <c r="D775" t="s">
        <v>29</v>
      </c>
      <c r="E775">
        <v>17140.27</v>
      </c>
      <c r="AX775">
        <v>3</v>
      </c>
      <c r="AY775">
        <v>3.13</v>
      </c>
      <c r="AZ775" t="s">
        <v>30</v>
      </c>
      <c r="BA775" t="s">
        <v>49</v>
      </c>
      <c r="BB775">
        <v>17140.27</v>
      </c>
      <c r="BC775">
        <v>17140.27</v>
      </c>
      <c r="BD775">
        <v>20848.95</v>
      </c>
      <c r="BE775">
        <v>20848.95</v>
      </c>
      <c r="BF775">
        <v>11657.56</v>
      </c>
      <c r="BG775">
        <v>6461.28</v>
      </c>
      <c r="BH775">
        <v>-467.88</v>
      </c>
      <c r="BI775">
        <v>-1923.84</v>
      </c>
      <c r="BJ775">
        <v>-541.79999999999995</v>
      </c>
      <c r="BK775">
        <v>-775.16</v>
      </c>
      <c r="BL775">
        <v>12350.58</v>
      </c>
      <c r="BM775">
        <v>2037.09</v>
      </c>
      <c r="BP775" s="3">
        <v>45622</v>
      </c>
      <c r="BQ775">
        <v>13006.75</v>
      </c>
    </row>
    <row r="776" spans="1:71" x14ac:dyDescent="0.25">
      <c r="A776" t="s">
        <v>947</v>
      </c>
      <c r="B776" t="s">
        <v>955</v>
      </c>
      <c r="C776" s="2">
        <f>HYPERLINK("https://szao.dolgi.msk.ru/account/3470204378/", 3470204378)</f>
        <v>3470204378</v>
      </c>
      <c r="D776" t="s">
        <v>29</v>
      </c>
      <c r="E776">
        <v>103173.85</v>
      </c>
      <c r="AX776">
        <v>37.03</v>
      </c>
      <c r="AY776">
        <v>34.49</v>
      </c>
      <c r="AZ776" t="s">
        <v>35</v>
      </c>
      <c r="BA776" t="s">
        <v>36</v>
      </c>
      <c r="BB776">
        <v>103173.85</v>
      </c>
      <c r="BC776">
        <v>103173.85</v>
      </c>
      <c r="BD776">
        <v>103173.85</v>
      </c>
      <c r="BE776">
        <v>103173.85</v>
      </c>
      <c r="BF776">
        <v>100182.32</v>
      </c>
      <c r="BG776">
        <v>3293.5</v>
      </c>
      <c r="BH776">
        <v>8611.91</v>
      </c>
      <c r="BI776">
        <v>32404.79</v>
      </c>
      <c r="BJ776">
        <v>9656.6200000000008</v>
      </c>
      <c r="BK776">
        <v>9510.5</v>
      </c>
      <c r="BL776">
        <v>35424.61</v>
      </c>
      <c r="BM776">
        <v>4271.92</v>
      </c>
      <c r="BN776">
        <v>2629.99</v>
      </c>
      <c r="BP776" s="3">
        <v>45671</v>
      </c>
      <c r="BQ776">
        <v>2629.99</v>
      </c>
      <c r="BR776" s="3">
        <v>45670</v>
      </c>
      <c r="BS776" t="s">
        <v>956</v>
      </c>
    </row>
    <row r="777" spans="1:71" x14ac:dyDescent="0.25">
      <c r="A777" t="s">
        <v>947</v>
      </c>
      <c r="B777" t="s">
        <v>957</v>
      </c>
      <c r="C777" s="2">
        <f>HYPERLINK("https://szao.dolgi.msk.ru/account/3470330737/", 3470330737)</f>
        <v>3470330737</v>
      </c>
      <c r="D777" t="s">
        <v>29</v>
      </c>
      <c r="E777">
        <v>251463.19</v>
      </c>
      <c r="AX777">
        <v>57.96</v>
      </c>
      <c r="AY777">
        <v>52.17</v>
      </c>
      <c r="AZ777" t="s">
        <v>56</v>
      </c>
      <c r="BA777" t="s">
        <v>36</v>
      </c>
      <c r="BB777">
        <v>251463.19</v>
      </c>
      <c r="BC777">
        <v>251463.19</v>
      </c>
      <c r="BD777">
        <v>251463.19</v>
      </c>
      <c r="BE777">
        <v>251463.19</v>
      </c>
      <c r="BF777">
        <v>246642.87</v>
      </c>
      <c r="BG777">
        <v>64934.38</v>
      </c>
      <c r="BH777">
        <v>24034.51</v>
      </c>
      <c r="BI777">
        <v>29947.33</v>
      </c>
      <c r="BJ777">
        <v>17088.900000000001</v>
      </c>
      <c r="BK777">
        <v>23976.22</v>
      </c>
      <c r="BL777">
        <v>80325.41</v>
      </c>
      <c r="BM777">
        <v>11156.44</v>
      </c>
      <c r="BP777" s="3">
        <v>45260</v>
      </c>
      <c r="BQ777">
        <v>0</v>
      </c>
      <c r="BR777" s="3">
        <v>45670</v>
      </c>
      <c r="BS777" t="s">
        <v>958</v>
      </c>
    </row>
    <row r="778" spans="1:71" x14ac:dyDescent="0.25">
      <c r="A778" t="s">
        <v>947</v>
      </c>
      <c r="B778" t="s">
        <v>959</v>
      </c>
      <c r="C778" s="2">
        <f>HYPERLINK("https://szao.dolgi.msk.ru/account/3470204503/", 3470204503)</f>
        <v>3470204503</v>
      </c>
      <c r="D778" t="s">
        <v>29</v>
      </c>
      <c r="E778">
        <v>28862.14</v>
      </c>
      <c r="AX778">
        <v>2.4300000000000002</v>
      </c>
      <c r="AY778">
        <v>2.42</v>
      </c>
      <c r="AZ778" t="s">
        <v>30</v>
      </c>
      <c r="BA778" t="s">
        <v>31</v>
      </c>
      <c r="BB778">
        <v>28862.14</v>
      </c>
      <c r="BC778">
        <v>28862.14</v>
      </c>
      <c r="BD778">
        <v>28862.14</v>
      </c>
      <c r="BE778">
        <v>28862.14</v>
      </c>
      <c r="BF778">
        <v>16954.59</v>
      </c>
      <c r="BG778">
        <v>3205.87</v>
      </c>
      <c r="BH778">
        <v>3969.15</v>
      </c>
      <c r="BI778">
        <v>9531.31</v>
      </c>
      <c r="BJ778">
        <v>2715.63</v>
      </c>
      <c r="BK778">
        <v>5111.0600000000004</v>
      </c>
      <c r="BL778">
        <v>3727.06</v>
      </c>
      <c r="BM778">
        <v>602.05999999999995</v>
      </c>
      <c r="BN778">
        <v>11583.33</v>
      </c>
      <c r="BP778" s="3">
        <v>45685</v>
      </c>
      <c r="BQ778">
        <v>11583.33</v>
      </c>
      <c r="BR778" s="3">
        <v>45553</v>
      </c>
      <c r="BS778" t="s">
        <v>960</v>
      </c>
    </row>
    <row r="779" spans="1:71" x14ac:dyDescent="0.25">
      <c r="A779" t="s">
        <v>947</v>
      </c>
      <c r="B779" t="s">
        <v>961</v>
      </c>
      <c r="C779" s="2">
        <f>HYPERLINK("https://szao.dolgi.msk.ru/account/3470204845/", 3470204845)</f>
        <v>3470204845</v>
      </c>
      <c r="D779" t="s">
        <v>29</v>
      </c>
      <c r="E779">
        <v>224807.59</v>
      </c>
      <c r="AX779">
        <v>23.66</v>
      </c>
      <c r="AY779">
        <v>21.75</v>
      </c>
      <c r="AZ779" t="s">
        <v>56</v>
      </c>
      <c r="BA779" t="s">
        <v>36</v>
      </c>
      <c r="BB779">
        <v>224807.59</v>
      </c>
      <c r="BC779">
        <v>224807.59</v>
      </c>
      <c r="BD779">
        <v>224807.59</v>
      </c>
      <c r="BE779">
        <v>224807.59</v>
      </c>
      <c r="BF779">
        <v>214471.73</v>
      </c>
      <c r="BG779">
        <v>31984.86</v>
      </c>
      <c r="BH779">
        <v>25309.61</v>
      </c>
      <c r="BI779">
        <v>60214.22</v>
      </c>
      <c r="BJ779">
        <v>15949.61</v>
      </c>
      <c r="BK779">
        <v>32998.660000000003</v>
      </c>
      <c r="BL779">
        <v>49742.65</v>
      </c>
      <c r="BM779">
        <v>8607.98</v>
      </c>
      <c r="BP779" s="3">
        <v>45133</v>
      </c>
      <c r="BQ779">
        <v>6310.76</v>
      </c>
      <c r="BR779" s="3">
        <v>45355</v>
      </c>
      <c r="BS779" t="s">
        <v>962</v>
      </c>
    </row>
    <row r="780" spans="1:71" x14ac:dyDescent="0.25">
      <c r="A780" t="s">
        <v>963</v>
      </c>
      <c r="B780" t="s">
        <v>28</v>
      </c>
      <c r="C780" s="2">
        <f>HYPERLINK("https://szao.dolgi.msk.ru/account/3470495144/", 3470495144)</f>
        <v>3470495144</v>
      </c>
      <c r="D780" t="s">
        <v>29</v>
      </c>
      <c r="E780">
        <v>3856.81</v>
      </c>
      <c r="AX780">
        <v>2.42</v>
      </c>
      <c r="AY780">
        <v>1.88</v>
      </c>
      <c r="AZ780" t="s">
        <v>40</v>
      </c>
      <c r="BA780" t="s">
        <v>31</v>
      </c>
      <c r="BB780">
        <v>3856.81</v>
      </c>
      <c r="BC780">
        <v>3856.81</v>
      </c>
      <c r="BD780">
        <v>3856.81</v>
      </c>
      <c r="BE780">
        <v>3856.81</v>
      </c>
      <c r="BF780">
        <v>1809.51</v>
      </c>
      <c r="BG780">
        <v>1400.25</v>
      </c>
      <c r="BH780">
        <v>0</v>
      </c>
      <c r="BI780">
        <v>0</v>
      </c>
      <c r="BJ780">
        <v>0</v>
      </c>
      <c r="BK780">
        <v>0</v>
      </c>
      <c r="BL780">
        <v>2150.2600000000002</v>
      </c>
      <c r="BM780">
        <v>306.3</v>
      </c>
      <c r="BP780" s="3">
        <v>45653</v>
      </c>
      <c r="BQ780">
        <v>1809.51</v>
      </c>
    </row>
    <row r="781" spans="1:71" x14ac:dyDescent="0.25">
      <c r="A781" t="s">
        <v>963</v>
      </c>
      <c r="B781" t="s">
        <v>28</v>
      </c>
      <c r="C781" s="2">
        <f>HYPERLINK("https://szao.dolgi.msk.ru/account/3470495187/", 3470495187)</f>
        <v>3470495187</v>
      </c>
      <c r="D781" t="s">
        <v>29</v>
      </c>
      <c r="E781">
        <v>17479.650000000001</v>
      </c>
      <c r="AX781">
        <v>2.92</v>
      </c>
      <c r="AY781">
        <v>2.9</v>
      </c>
      <c r="AZ781" t="s">
        <v>69</v>
      </c>
      <c r="BA781" t="s">
        <v>31</v>
      </c>
      <c r="BB781">
        <v>17479.650000000001</v>
      </c>
      <c r="BC781">
        <v>17479.650000000001</v>
      </c>
      <c r="BD781">
        <v>17479.650000000001</v>
      </c>
      <c r="BE781">
        <v>17479.650000000001</v>
      </c>
      <c r="BF781">
        <v>11460.02</v>
      </c>
      <c r="BG781">
        <v>1989.29</v>
      </c>
      <c r="BH781">
        <v>1885.69</v>
      </c>
      <c r="BI781">
        <v>5264.47</v>
      </c>
      <c r="BJ781">
        <v>1482.59</v>
      </c>
      <c r="BK781">
        <v>2585.92</v>
      </c>
      <c r="BL781">
        <v>3928.14</v>
      </c>
      <c r="BM781">
        <v>343.55</v>
      </c>
      <c r="BP781" s="3">
        <v>45583</v>
      </c>
      <c r="BQ781">
        <v>5125.8900000000003</v>
      </c>
      <c r="BR781" s="3">
        <v>44852</v>
      </c>
      <c r="BS781" t="s">
        <v>964</v>
      </c>
    </row>
    <row r="782" spans="1:71" x14ac:dyDescent="0.25">
      <c r="A782" t="s">
        <v>963</v>
      </c>
      <c r="B782" t="s">
        <v>28</v>
      </c>
      <c r="C782" s="2">
        <f>HYPERLINK("https://szao.dolgi.msk.ru/account/3470495208/", 3470495208)</f>
        <v>3470495208</v>
      </c>
      <c r="D782" t="s">
        <v>29</v>
      </c>
      <c r="E782">
        <v>34404.85</v>
      </c>
      <c r="AX782">
        <v>4.67</v>
      </c>
      <c r="AY782">
        <v>4.7</v>
      </c>
      <c r="AZ782" t="s">
        <v>40</v>
      </c>
      <c r="BA782" t="s">
        <v>49</v>
      </c>
      <c r="BB782">
        <v>34404.85</v>
      </c>
      <c r="BC782">
        <v>34404.85</v>
      </c>
      <c r="BD782">
        <v>34404.85</v>
      </c>
      <c r="BE782">
        <v>34404.85</v>
      </c>
      <c r="BF782">
        <v>27084.89</v>
      </c>
      <c r="BG782">
        <v>7570.05</v>
      </c>
      <c r="BH782">
        <v>1974.32</v>
      </c>
      <c r="BI782">
        <v>5577.24</v>
      </c>
      <c r="BJ782">
        <v>1546.79</v>
      </c>
      <c r="BK782">
        <v>2717.63</v>
      </c>
      <c r="BL782">
        <v>13112.84</v>
      </c>
      <c r="BM782">
        <v>1905.98</v>
      </c>
      <c r="BN782">
        <v>6510.58</v>
      </c>
      <c r="BP782" s="3">
        <v>45686</v>
      </c>
      <c r="BQ782">
        <v>6510.58</v>
      </c>
    </row>
    <row r="783" spans="1:71" x14ac:dyDescent="0.25">
      <c r="A783" t="s">
        <v>963</v>
      </c>
      <c r="B783" t="s">
        <v>28</v>
      </c>
      <c r="C783" s="2">
        <f>HYPERLINK("https://szao.dolgi.msk.ru/account/3470495216/", 3470495216)</f>
        <v>3470495216</v>
      </c>
      <c r="D783" t="s">
        <v>29</v>
      </c>
      <c r="E783">
        <v>11833.73</v>
      </c>
      <c r="AX783">
        <v>2.93</v>
      </c>
      <c r="AY783">
        <v>2.3199999999999998</v>
      </c>
      <c r="AZ783" t="s">
        <v>40</v>
      </c>
      <c r="BA783" t="s">
        <v>31</v>
      </c>
      <c r="BB783">
        <v>11833.73</v>
      </c>
      <c r="BC783">
        <v>11833.73</v>
      </c>
      <c r="BD783">
        <v>11833.73</v>
      </c>
      <c r="BE783">
        <v>11833.73</v>
      </c>
      <c r="BF783">
        <v>6739.64</v>
      </c>
      <c r="BG783">
        <v>3484.1</v>
      </c>
      <c r="BH783">
        <v>425.37</v>
      </c>
      <c r="BI783">
        <v>1010.5</v>
      </c>
      <c r="BJ783">
        <v>319.56</v>
      </c>
      <c r="BK783">
        <v>481.8</v>
      </c>
      <c r="BL783">
        <v>5350.26</v>
      </c>
      <c r="BM783">
        <v>762.14</v>
      </c>
      <c r="BP783" s="3">
        <v>45653</v>
      </c>
      <c r="BQ783">
        <v>4502.41</v>
      </c>
    </row>
    <row r="784" spans="1:71" x14ac:dyDescent="0.25">
      <c r="A784" t="s">
        <v>963</v>
      </c>
      <c r="B784" t="s">
        <v>48</v>
      </c>
      <c r="C784" s="2">
        <f>HYPERLINK("https://szao.dolgi.msk.ru/account/3470495312/", 3470495312)</f>
        <v>3470495312</v>
      </c>
      <c r="D784" t="s">
        <v>29</v>
      </c>
      <c r="E784">
        <v>50599.76</v>
      </c>
      <c r="AX784">
        <v>19.11</v>
      </c>
      <c r="AY784">
        <v>14.41</v>
      </c>
      <c r="AZ784" t="s">
        <v>69</v>
      </c>
      <c r="BA784" t="s">
        <v>36</v>
      </c>
      <c r="BB784">
        <v>50599.76</v>
      </c>
      <c r="BC784">
        <v>50599.76</v>
      </c>
      <c r="BD784">
        <v>50599.76</v>
      </c>
      <c r="BE784">
        <v>50599.76</v>
      </c>
      <c r="BF784">
        <v>47635.15</v>
      </c>
      <c r="BG784">
        <v>5315.1</v>
      </c>
      <c r="BH784">
        <v>989.94</v>
      </c>
      <c r="BI784">
        <v>8992.83</v>
      </c>
      <c r="BJ784">
        <v>3723.54</v>
      </c>
      <c r="BK784">
        <v>1171.79</v>
      </c>
      <c r="BL784">
        <v>25926.23</v>
      </c>
      <c r="BM784">
        <v>4480.33</v>
      </c>
      <c r="BP784" s="3">
        <v>45626</v>
      </c>
      <c r="BQ784">
        <v>0</v>
      </c>
      <c r="BR784" s="3">
        <v>45670</v>
      </c>
      <c r="BS784" t="s">
        <v>965</v>
      </c>
    </row>
    <row r="785" spans="1:71" x14ac:dyDescent="0.25">
      <c r="A785" t="s">
        <v>963</v>
      </c>
      <c r="B785" t="s">
        <v>48</v>
      </c>
      <c r="C785" s="2">
        <f>HYPERLINK("https://szao.dolgi.msk.ru/account/3470495419/", 3470495419)</f>
        <v>3470495419</v>
      </c>
      <c r="D785" t="s">
        <v>29</v>
      </c>
      <c r="E785">
        <v>11405.72</v>
      </c>
      <c r="AX785">
        <v>6.13</v>
      </c>
      <c r="AY785">
        <v>4.3499999999999996</v>
      </c>
      <c r="AZ785" t="s">
        <v>40</v>
      </c>
      <c r="BA785" t="s">
        <v>66</v>
      </c>
      <c r="BB785">
        <v>11405.72</v>
      </c>
      <c r="BC785">
        <v>11405.72</v>
      </c>
      <c r="BD785">
        <v>11405.72</v>
      </c>
      <c r="BE785">
        <v>11405.72</v>
      </c>
      <c r="BF785">
        <v>8784.1299999999992</v>
      </c>
      <c r="BG785">
        <v>1793.04</v>
      </c>
      <c r="BH785">
        <v>1006.92</v>
      </c>
      <c r="BI785">
        <v>3257.36</v>
      </c>
      <c r="BJ785">
        <v>844.98</v>
      </c>
      <c r="BK785">
        <v>1357.78</v>
      </c>
      <c r="BL785">
        <v>2753.42</v>
      </c>
      <c r="BM785">
        <v>392.22</v>
      </c>
      <c r="BP785" s="3">
        <v>45653</v>
      </c>
      <c r="BQ785">
        <v>2317.09</v>
      </c>
    </row>
    <row r="786" spans="1:71" x14ac:dyDescent="0.25">
      <c r="A786" t="s">
        <v>966</v>
      </c>
      <c r="B786" t="s">
        <v>173</v>
      </c>
      <c r="C786" s="2">
        <f>HYPERLINK("https://szao.dolgi.msk.ru/account/3470205928/", 3470205928)</f>
        <v>3470205928</v>
      </c>
      <c r="D786" t="s">
        <v>29</v>
      </c>
      <c r="E786">
        <v>153703.96</v>
      </c>
      <c r="AX786">
        <v>15.1</v>
      </c>
      <c r="AY786">
        <v>14.98</v>
      </c>
      <c r="AZ786" t="s">
        <v>40</v>
      </c>
      <c r="BA786" t="s">
        <v>36</v>
      </c>
      <c r="BB786">
        <v>153703.96</v>
      </c>
      <c r="BC786">
        <v>153703.96</v>
      </c>
      <c r="BD786">
        <v>153703.96</v>
      </c>
      <c r="BE786">
        <v>153703.96</v>
      </c>
      <c r="BF786">
        <v>153321.14000000001</v>
      </c>
      <c r="BG786">
        <v>23131.360000000001</v>
      </c>
      <c r="BH786">
        <v>10818.44</v>
      </c>
      <c r="BI786">
        <v>53290.06</v>
      </c>
      <c r="BJ786">
        <v>14215.41</v>
      </c>
      <c r="BK786">
        <v>19529.05</v>
      </c>
      <c r="BL786">
        <v>28186.12</v>
      </c>
      <c r="BM786">
        <v>4533.5200000000004</v>
      </c>
      <c r="BN786">
        <v>9875.25</v>
      </c>
      <c r="BP786" s="3">
        <v>45693</v>
      </c>
      <c r="BQ786">
        <v>9875.25</v>
      </c>
      <c r="BR786" s="3">
        <v>45670</v>
      </c>
      <c r="BS786" t="s">
        <v>967</v>
      </c>
    </row>
    <row r="787" spans="1:71" x14ac:dyDescent="0.25">
      <c r="A787" t="s">
        <v>966</v>
      </c>
      <c r="B787" t="s">
        <v>88</v>
      </c>
      <c r="C787" s="2">
        <f>HYPERLINK("https://szao.dolgi.msk.ru/account/3470206509/", 3470206509)</f>
        <v>3470206509</v>
      </c>
      <c r="D787" t="s">
        <v>29</v>
      </c>
      <c r="E787">
        <v>46602.77</v>
      </c>
      <c r="AX787">
        <v>10.17</v>
      </c>
      <c r="AY787">
        <v>10.26</v>
      </c>
      <c r="AZ787" t="s">
        <v>40</v>
      </c>
      <c r="BA787" t="s">
        <v>63</v>
      </c>
      <c r="BB787">
        <v>46602.77</v>
      </c>
      <c r="BC787">
        <v>46602.77</v>
      </c>
      <c r="BD787">
        <v>46602.77</v>
      </c>
      <c r="BE787">
        <v>46602.77</v>
      </c>
      <c r="BF787">
        <v>44390.59</v>
      </c>
      <c r="BG787">
        <v>4516.6400000000003</v>
      </c>
      <c r="BH787">
        <v>47.74</v>
      </c>
      <c r="BI787">
        <v>12388.57</v>
      </c>
      <c r="BJ787">
        <v>3795.1</v>
      </c>
      <c r="BK787">
        <v>7432.77</v>
      </c>
      <c r="BL787">
        <v>16580.599999999999</v>
      </c>
      <c r="BM787">
        <v>1841.35</v>
      </c>
      <c r="BN787">
        <v>11116.54</v>
      </c>
      <c r="BO787">
        <v>4543.3100000000004</v>
      </c>
      <c r="BP787" s="3">
        <v>45684</v>
      </c>
      <c r="BQ787">
        <v>11116.54</v>
      </c>
      <c r="BR787" s="3">
        <v>45548</v>
      </c>
      <c r="BS787" t="s">
        <v>968</v>
      </c>
    </row>
    <row r="788" spans="1:71" x14ac:dyDescent="0.25">
      <c r="A788" t="s">
        <v>966</v>
      </c>
      <c r="B788" t="s">
        <v>220</v>
      </c>
      <c r="C788" s="2">
        <f>HYPERLINK("https://szao.dolgi.msk.ru/account/3470206728/", 3470206728)</f>
        <v>3470206728</v>
      </c>
      <c r="D788" t="s">
        <v>29</v>
      </c>
      <c r="E788">
        <v>35173.269999999997</v>
      </c>
      <c r="AX788">
        <v>3.75</v>
      </c>
      <c r="AY788">
        <v>3.94</v>
      </c>
      <c r="AZ788" t="s">
        <v>40</v>
      </c>
      <c r="BA788" t="s">
        <v>49</v>
      </c>
      <c r="BB788">
        <v>35173.269999999997</v>
      </c>
      <c r="BC788">
        <v>34681.43</v>
      </c>
      <c r="BD788">
        <v>35173.269999999997</v>
      </c>
      <c r="BE788">
        <v>34681.43</v>
      </c>
      <c r="BF788">
        <v>26240.27</v>
      </c>
      <c r="BG788">
        <v>5589.7</v>
      </c>
      <c r="BH788">
        <v>3882.8</v>
      </c>
      <c r="BI788">
        <v>9714.43</v>
      </c>
      <c r="BJ788">
        <v>2735.81</v>
      </c>
      <c r="BK788">
        <v>5081.29</v>
      </c>
      <c r="BL788">
        <v>7110.69</v>
      </c>
      <c r="BM788">
        <v>1058.55</v>
      </c>
      <c r="BP788" s="3">
        <v>45608</v>
      </c>
      <c r="BQ788">
        <v>12108.86</v>
      </c>
    </row>
    <row r="789" spans="1:71" x14ac:dyDescent="0.25">
      <c r="A789" t="s">
        <v>969</v>
      </c>
      <c r="B789" t="s">
        <v>139</v>
      </c>
      <c r="C789" s="2">
        <f>HYPERLINK("https://szao.dolgi.msk.ru/account/3470210399/", 3470210399)</f>
        <v>3470210399</v>
      </c>
      <c r="D789" t="s">
        <v>29</v>
      </c>
      <c r="E789">
        <v>75649.36</v>
      </c>
      <c r="AX789">
        <v>13.24</v>
      </c>
      <c r="AY789">
        <v>13.64</v>
      </c>
      <c r="AZ789" t="s">
        <v>30</v>
      </c>
      <c r="BA789" t="s">
        <v>36</v>
      </c>
      <c r="BB789">
        <v>75649.36</v>
      </c>
      <c r="BC789">
        <v>75553.759999999995</v>
      </c>
      <c r="BD789">
        <v>75649.36</v>
      </c>
      <c r="BE789">
        <v>75553.759999999995</v>
      </c>
      <c r="BF789">
        <v>70103.66</v>
      </c>
      <c r="BG789">
        <v>29765.86</v>
      </c>
      <c r="BH789">
        <v>8377.0300000000007</v>
      </c>
      <c r="BI789">
        <v>5627.64</v>
      </c>
      <c r="BJ789">
        <v>1493.4</v>
      </c>
      <c r="BK789">
        <v>7730.69</v>
      </c>
      <c r="BL789">
        <v>19456.93</v>
      </c>
      <c r="BM789">
        <v>3197.81</v>
      </c>
      <c r="BN789">
        <v>14823.17</v>
      </c>
      <c r="BP789" s="3">
        <v>45688</v>
      </c>
      <c r="BQ789">
        <v>14823.17</v>
      </c>
      <c r="BR789" s="3">
        <v>45548</v>
      </c>
      <c r="BS789" t="s">
        <v>970</v>
      </c>
    </row>
    <row r="790" spans="1:71" x14ac:dyDescent="0.25">
      <c r="A790" t="s">
        <v>969</v>
      </c>
      <c r="B790" t="s">
        <v>282</v>
      </c>
      <c r="C790" s="2">
        <f>HYPERLINK("https://szao.dolgi.msk.ru/account/3470542107/", 3470542107)</f>
        <v>3470542107</v>
      </c>
      <c r="D790" t="s">
        <v>29</v>
      </c>
      <c r="E790">
        <v>1700.16</v>
      </c>
      <c r="AX790">
        <v>3.57</v>
      </c>
      <c r="AY790">
        <v>0.36</v>
      </c>
      <c r="AZ790" t="s">
        <v>30</v>
      </c>
      <c r="BA790" t="s">
        <v>49</v>
      </c>
      <c r="BB790">
        <v>1700.16</v>
      </c>
      <c r="BC790">
        <v>1700.16</v>
      </c>
      <c r="BD790">
        <v>4662.5200000000004</v>
      </c>
      <c r="BE790">
        <v>4662.5200000000004</v>
      </c>
      <c r="BF790">
        <v>13163.56</v>
      </c>
      <c r="BG790">
        <v>2667.42</v>
      </c>
      <c r="BH790">
        <v>-663.73</v>
      </c>
      <c r="BI790">
        <v>-1206.99</v>
      </c>
      <c r="BJ790">
        <v>-319.77999999999997</v>
      </c>
      <c r="BK790">
        <v>-771.86</v>
      </c>
      <c r="BL790">
        <v>1676</v>
      </c>
      <c r="BM790">
        <v>319.10000000000002</v>
      </c>
      <c r="BN790">
        <v>16125.92</v>
      </c>
      <c r="BP790" s="3">
        <v>45691</v>
      </c>
      <c r="BQ790">
        <v>16125.92</v>
      </c>
    </row>
    <row r="791" spans="1:71" x14ac:dyDescent="0.25">
      <c r="A791" t="s">
        <v>969</v>
      </c>
      <c r="B791" t="s">
        <v>971</v>
      </c>
      <c r="C791" s="2">
        <f>HYPERLINK("https://szao.dolgi.msk.ru/account/3470208168/", 3470208168)</f>
        <v>3470208168</v>
      </c>
      <c r="D791" t="s">
        <v>29</v>
      </c>
      <c r="E791">
        <v>219811.19</v>
      </c>
      <c r="AX791">
        <v>34.31</v>
      </c>
      <c r="AY791">
        <v>34.479999999999997</v>
      </c>
      <c r="AZ791" t="s">
        <v>56</v>
      </c>
      <c r="BA791" t="s">
        <v>36</v>
      </c>
      <c r="BB791">
        <v>219811.19</v>
      </c>
      <c r="BC791">
        <v>219811.19</v>
      </c>
      <c r="BD791">
        <v>219811.19</v>
      </c>
      <c r="BE791">
        <v>219811.19</v>
      </c>
      <c r="BF791">
        <v>213435.5</v>
      </c>
      <c r="BG791">
        <v>60691.18</v>
      </c>
      <c r="BH791">
        <v>14667.25</v>
      </c>
      <c r="BI791">
        <v>37806.480000000003</v>
      </c>
      <c r="BJ791">
        <v>10034.69</v>
      </c>
      <c r="BK791">
        <v>18954.68</v>
      </c>
      <c r="BL791">
        <v>65508.33</v>
      </c>
      <c r="BM791">
        <v>12148.58</v>
      </c>
      <c r="BP791" s="3">
        <v>45596</v>
      </c>
      <c r="BQ791">
        <v>0</v>
      </c>
      <c r="BR791" s="3">
        <v>45671</v>
      </c>
      <c r="BS791" t="s">
        <v>972</v>
      </c>
    </row>
    <row r="792" spans="1:71" x14ac:dyDescent="0.25">
      <c r="A792" t="s">
        <v>969</v>
      </c>
      <c r="B792" t="s">
        <v>523</v>
      </c>
      <c r="C792" s="2">
        <f>HYPERLINK("https://szao.dolgi.msk.ru/account/3470208598/", 3470208598)</f>
        <v>3470208598</v>
      </c>
      <c r="D792" t="s">
        <v>29</v>
      </c>
      <c r="E792">
        <v>12671.48</v>
      </c>
      <c r="AX792">
        <v>2.46</v>
      </c>
      <c r="AY792">
        <v>2.39</v>
      </c>
      <c r="AZ792" t="s">
        <v>40</v>
      </c>
      <c r="BA792" t="s">
        <v>31</v>
      </c>
      <c r="BB792">
        <v>12671.48</v>
      </c>
      <c r="BC792">
        <v>12671.48</v>
      </c>
      <c r="BD792">
        <v>12671.48</v>
      </c>
      <c r="BE792">
        <v>12671.48</v>
      </c>
      <c r="BF792">
        <v>7368.71</v>
      </c>
      <c r="BG792">
        <v>4488.8599999999997</v>
      </c>
      <c r="BH792">
        <v>891.49</v>
      </c>
      <c r="BI792">
        <v>852.45</v>
      </c>
      <c r="BJ792">
        <v>241.67</v>
      </c>
      <c r="BK792">
        <v>868.44</v>
      </c>
      <c r="BL792">
        <v>4482.32</v>
      </c>
      <c r="BM792">
        <v>846.25</v>
      </c>
      <c r="BN792">
        <v>1738.87</v>
      </c>
      <c r="BO792">
        <v>409.85</v>
      </c>
      <c r="BP792" s="3">
        <v>45686</v>
      </c>
      <c r="BQ792">
        <v>2148.7199999999998</v>
      </c>
      <c r="BR792" s="3">
        <v>44805</v>
      </c>
      <c r="BS792" t="s">
        <v>973</v>
      </c>
    </row>
    <row r="793" spans="1:71" x14ac:dyDescent="0.25">
      <c r="A793" t="s">
        <v>969</v>
      </c>
      <c r="B793" t="s">
        <v>133</v>
      </c>
      <c r="C793" s="2">
        <f>HYPERLINK("https://szao.dolgi.msk.ru/account/3470208707/", 3470208707)</f>
        <v>3470208707</v>
      </c>
      <c r="D793" t="s">
        <v>29</v>
      </c>
      <c r="E793">
        <v>15995.53</v>
      </c>
      <c r="AX793">
        <v>3.77</v>
      </c>
      <c r="AY793">
        <v>3.96</v>
      </c>
      <c r="AZ793" t="s">
        <v>35</v>
      </c>
      <c r="BA793" t="s">
        <v>49</v>
      </c>
      <c r="BB793">
        <v>15995.53</v>
      </c>
      <c r="BC793">
        <v>15995.53</v>
      </c>
      <c r="BD793">
        <v>15995.53</v>
      </c>
      <c r="BE793">
        <v>15995.53</v>
      </c>
      <c r="BF793">
        <v>11955.99</v>
      </c>
      <c r="BG793">
        <v>3384.2</v>
      </c>
      <c r="BH793">
        <v>1090.68</v>
      </c>
      <c r="BI793">
        <v>3420.06</v>
      </c>
      <c r="BJ793">
        <v>889</v>
      </c>
      <c r="BK793">
        <v>1547.34</v>
      </c>
      <c r="BL793">
        <v>4684.51</v>
      </c>
      <c r="BM793">
        <v>979.74</v>
      </c>
      <c r="BO793">
        <v>4039.54</v>
      </c>
      <c r="BP793" s="3">
        <v>45679</v>
      </c>
      <c r="BQ793">
        <v>4039.54</v>
      </c>
    </row>
    <row r="794" spans="1:71" x14ac:dyDescent="0.25">
      <c r="A794" t="s">
        <v>969</v>
      </c>
      <c r="B794" t="s">
        <v>44</v>
      </c>
      <c r="C794" s="2">
        <f>HYPERLINK("https://szao.dolgi.msk.ru/account/3470209566/", 3470209566)</f>
        <v>3470209566</v>
      </c>
      <c r="D794" t="s">
        <v>29</v>
      </c>
      <c r="E794">
        <v>1360134.04</v>
      </c>
      <c r="AX794">
        <v>21.89</v>
      </c>
      <c r="AY794">
        <v>20.5</v>
      </c>
      <c r="AZ794" t="s">
        <v>56</v>
      </c>
      <c r="BA794" t="s">
        <v>36</v>
      </c>
      <c r="BB794">
        <v>1360134.04</v>
      </c>
      <c r="BC794">
        <v>1360134.04</v>
      </c>
      <c r="BD794">
        <v>1360134.04</v>
      </c>
      <c r="BE794">
        <v>1360134.04</v>
      </c>
      <c r="BF794">
        <v>1293788.18</v>
      </c>
      <c r="BG794">
        <v>95275.99</v>
      </c>
      <c r="BH794">
        <v>225922</v>
      </c>
      <c r="BI794">
        <v>489803.61</v>
      </c>
      <c r="BJ794">
        <v>139887.26999999999</v>
      </c>
      <c r="BK794">
        <v>291516.63</v>
      </c>
      <c r="BL794">
        <v>100666.46</v>
      </c>
      <c r="BM794">
        <v>17062.080000000002</v>
      </c>
      <c r="BP794" s="3">
        <v>45278</v>
      </c>
      <c r="BQ794">
        <v>0</v>
      </c>
      <c r="BR794" s="3">
        <v>45692</v>
      </c>
      <c r="BS794" t="s">
        <v>974</v>
      </c>
    </row>
    <row r="795" spans="1:71" x14ac:dyDescent="0.25">
      <c r="A795" t="s">
        <v>969</v>
      </c>
      <c r="B795" t="s">
        <v>68</v>
      </c>
      <c r="C795" s="2">
        <f>HYPERLINK("https://szao.dolgi.msk.ru/account/3470209742/", 3470209742)</f>
        <v>3470209742</v>
      </c>
      <c r="D795" t="s">
        <v>29</v>
      </c>
      <c r="E795">
        <v>9753.86</v>
      </c>
      <c r="AX795">
        <v>2</v>
      </c>
      <c r="AY795">
        <v>2.04</v>
      </c>
      <c r="AZ795" t="s">
        <v>30</v>
      </c>
      <c r="BA795" t="s">
        <v>31</v>
      </c>
      <c r="BB795">
        <v>9753.86</v>
      </c>
      <c r="BC795">
        <v>9753.86</v>
      </c>
      <c r="BD795">
        <v>9753.86</v>
      </c>
      <c r="BE795">
        <v>9753.86</v>
      </c>
      <c r="BF795">
        <v>4980.16</v>
      </c>
      <c r="BG795">
        <v>4095.56</v>
      </c>
      <c r="BH795">
        <v>505.5</v>
      </c>
      <c r="BI795">
        <v>57.68</v>
      </c>
      <c r="BJ795">
        <v>16.25</v>
      </c>
      <c r="BK795">
        <v>446.57</v>
      </c>
      <c r="BL795">
        <v>3891.4</v>
      </c>
      <c r="BM795">
        <v>740.9</v>
      </c>
      <c r="BN795">
        <v>10322.9</v>
      </c>
      <c r="BP795" s="3">
        <v>45677</v>
      </c>
      <c r="BQ795">
        <v>6233.69</v>
      </c>
    </row>
    <row r="796" spans="1:71" x14ac:dyDescent="0.25">
      <c r="A796" t="s">
        <v>975</v>
      </c>
      <c r="B796" t="s">
        <v>136</v>
      </c>
      <c r="C796" s="2">
        <f>HYPERLINK("https://szao.dolgi.msk.ru/account/3470586986/", 3470586986)</f>
        <v>3470586986</v>
      </c>
      <c r="D796" t="s">
        <v>29</v>
      </c>
      <c r="E796">
        <v>26113.77</v>
      </c>
      <c r="AX796">
        <v>4.07</v>
      </c>
      <c r="AY796">
        <v>4.13</v>
      </c>
      <c r="AZ796" t="s">
        <v>40</v>
      </c>
      <c r="BA796" t="s">
        <v>49</v>
      </c>
      <c r="BB796">
        <v>26113.77</v>
      </c>
      <c r="BC796">
        <v>26113.77</v>
      </c>
      <c r="BD796">
        <v>26113.77</v>
      </c>
      <c r="BE796">
        <v>26113.77</v>
      </c>
      <c r="BF796">
        <v>19787.2</v>
      </c>
      <c r="BG796">
        <v>3793.08</v>
      </c>
      <c r="BH796">
        <v>2870.4</v>
      </c>
      <c r="BI796">
        <v>7446.4</v>
      </c>
      <c r="BJ796">
        <v>2107.9499999999998</v>
      </c>
      <c r="BK796">
        <v>3822.02</v>
      </c>
      <c r="BL796">
        <v>5338.4</v>
      </c>
      <c r="BM796">
        <v>735.52</v>
      </c>
      <c r="BP796" s="3">
        <v>45666</v>
      </c>
      <c r="BQ796">
        <v>7086.59</v>
      </c>
      <c r="BR796" s="3">
        <v>45695</v>
      </c>
      <c r="BS796" t="s">
        <v>976</v>
      </c>
    </row>
    <row r="797" spans="1:71" x14ac:dyDescent="0.25">
      <c r="A797" t="s">
        <v>975</v>
      </c>
      <c r="B797" t="s">
        <v>552</v>
      </c>
      <c r="C797" s="2">
        <f>HYPERLINK("https://szao.dolgi.msk.ru/account/3470211172/", 3470211172)</f>
        <v>3470211172</v>
      </c>
      <c r="D797" t="s">
        <v>29</v>
      </c>
      <c r="E797">
        <v>11013</v>
      </c>
      <c r="AX797">
        <v>2.0499999999999998</v>
      </c>
      <c r="AY797">
        <v>2.09</v>
      </c>
      <c r="AZ797" t="s">
        <v>30</v>
      </c>
      <c r="BA797" t="s">
        <v>31</v>
      </c>
      <c r="BB797">
        <v>11013</v>
      </c>
      <c r="BC797">
        <v>11013</v>
      </c>
      <c r="BD797">
        <v>11013</v>
      </c>
      <c r="BE797">
        <v>11013</v>
      </c>
      <c r="BF797">
        <v>5746.93</v>
      </c>
      <c r="BG797">
        <v>1938.29</v>
      </c>
      <c r="BH797">
        <v>598</v>
      </c>
      <c r="BI797">
        <v>1486.38</v>
      </c>
      <c r="BJ797">
        <v>418.6</v>
      </c>
      <c r="BK797">
        <v>780.47</v>
      </c>
      <c r="BL797">
        <v>5089.96</v>
      </c>
      <c r="BM797">
        <v>701.3</v>
      </c>
      <c r="BP797" s="3">
        <v>45650</v>
      </c>
      <c r="BQ797">
        <v>19924.27</v>
      </c>
      <c r="BR797" s="3">
        <v>45509</v>
      </c>
      <c r="BS797" t="s">
        <v>977</v>
      </c>
    </row>
    <row r="798" spans="1:71" x14ac:dyDescent="0.25">
      <c r="A798" t="s">
        <v>975</v>
      </c>
      <c r="B798" t="s">
        <v>414</v>
      </c>
      <c r="C798" s="2">
        <f>HYPERLINK("https://szao.dolgi.msk.ru/account/3470211789/", 3470211789)</f>
        <v>3470211789</v>
      </c>
      <c r="D798" t="s">
        <v>29</v>
      </c>
      <c r="E798">
        <v>157748.5</v>
      </c>
      <c r="AX798">
        <v>22.04</v>
      </c>
      <c r="AY798">
        <v>19.739999999999998</v>
      </c>
      <c r="AZ798" t="s">
        <v>56</v>
      </c>
      <c r="BA798" t="s">
        <v>36</v>
      </c>
      <c r="BB798">
        <v>157748.5</v>
      </c>
      <c r="BC798">
        <v>157748.5</v>
      </c>
      <c r="BD798">
        <v>157748.5</v>
      </c>
      <c r="BE798">
        <v>157748.5</v>
      </c>
      <c r="BF798">
        <v>150333.28</v>
      </c>
      <c r="BG798">
        <v>26974.13</v>
      </c>
      <c r="BH798">
        <v>9149.0400000000009</v>
      </c>
      <c r="BI798">
        <v>31760.63</v>
      </c>
      <c r="BJ798">
        <v>21028.98</v>
      </c>
      <c r="BK798">
        <v>21418.79</v>
      </c>
      <c r="BL798">
        <v>41450.58</v>
      </c>
      <c r="BM798">
        <v>5966.35</v>
      </c>
      <c r="BP798" s="3">
        <v>44672</v>
      </c>
      <c r="BQ798">
        <v>64324.02</v>
      </c>
      <c r="BR798" s="3">
        <v>45155</v>
      </c>
      <c r="BS798" t="s">
        <v>978</v>
      </c>
    </row>
    <row r="799" spans="1:71" x14ac:dyDescent="0.25">
      <c r="A799" t="s">
        <v>979</v>
      </c>
      <c r="B799" t="s">
        <v>296</v>
      </c>
      <c r="C799" s="2">
        <f>HYPERLINK("https://szao.dolgi.msk.ru/account/3470427504/", 3470427504)</f>
        <v>3470427504</v>
      </c>
      <c r="D799" t="s">
        <v>29</v>
      </c>
      <c r="E799">
        <v>52542.96</v>
      </c>
      <c r="AX799">
        <v>9.98</v>
      </c>
      <c r="AY799">
        <v>9.94</v>
      </c>
      <c r="AZ799" t="s">
        <v>40</v>
      </c>
      <c r="BA799" t="s">
        <v>63</v>
      </c>
      <c r="BB799">
        <v>52542.96</v>
      </c>
      <c r="BC799">
        <v>52542.96</v>
      </c>
      <c r="BD799">
        <v>52542.96</v>
      </c>
      <c r="BE799">
        <v>52542.96</v>
      </c>
      <c r="BF799">
        <v>47258.76</v>
      </c>
      <c r="BG799">
        <v>16840.12</v>
      </c>
      <c r="BH799">
        <v>2762.81</v>
      </c>
      <c r="BI799">
        <v>8275.1299999999992</v>
      </c>
      <c r="BJ799">
        <v>2207.81</v>
      </c>
      <c r="BK799">
        <v>3879.09</v>
      </c>
      <c r="BL799">
        <v>15039.99</v>
      </c>
      <c r="BM799">
        <v>3538.01</v>
      </c>
      <c r="BO799">
        <v>5284.2</v>
      </c>
      <c r="BP799" s="3">
        <v>45679</v>
      </c>
      <c r="BQ799">
        <v>5284.2</v>
      </c>
      <c r="BR799" s="3">
        <v>45548</v>
      </c>
      <c r="BS799" t="s">
        <v>980</v>
      </c>
    </row>
    <row r="800" spans="1:71" x14ac:dyDescent="0.25">
      <c r="A800" t="s">
        <v>979</v>
      </c>
      <c r="B800" t="s">
        <v>223</v>
      </c>
      <c r="C800" s="2">
        <f>HYPERLINK("https://szao.dolgi.msk.ru/account/3470427555/", 3470427555)</f>
        <v>3470427555</v>
      </c>
      <c r="D800" t="s">
        <v>29</v>
      </c>
      <c r="E800">
        <v>22203.06</v>
      </c>
      <c r="AX800">
        <v>4.3600000000000003</v>
      </c>
      <c r="AY800">
        <v>4.3600000000000003</v>
      </c>
      <c r="AZ800" t="s">
        <v>69</v>
      </c>
      <c r="BA800" t="s">
        <v>49</v>
      </c>
      <c r="BB800">
        <v>22203.06</v>
      </c>
      <c r="BC800">
        <v>21929.79</v>
      </c>
      <c r="BD800">
        <v>22203.06</v>
      </c>
      <c r="BE800">
        <v>21929.79</v>
      </c>
      <c r="BF800">
        <v>17105.14</v>
      </c>
      <c r="BG800">
        <v>9974.0300000000007</v>
      </c>
      <c r="BH800">
        <v>553.55999999999995</v>
      </c>
      <c r="BI800">
        <v>294.69</v>
      </c>
      <c r="BJ800">
        <v>82.99</v>
      </c>
      <c r="BK800">
        <v>488.69</v>
      </c>
      <c r="BL800">
        <v>8846.7999999999993</v>
      </c>
      <c r="BM800">
        <v>1962.3</v>
      </c>
      <c r="BP800" s="3">
        <v>45538</v>
      </c>
      <c r="BQ800">
        <v>5690.07</v>
      </c>
    </row>
    <row r="801" spans="1:71" x14ac:dyDescent="0.25">
      <c r="A801" t="s">
        <v>979</v>
      </c>
      <c r="B801" t="s">
        <v>344</v>
      </c>
      <c r="C801" s="2">
        <f>HYPERLINK("https://szao.dolgi.msk.ru/account/3470427811/", 3470427811)</f>
        <v>3470427811</v>
      </c>
      <c r="D801" t="s">
        <v>29</v>
      </c>
      <c r="E801">
        <v>318659.3</v>
      </c>
      <c r="AX801">
        <v>60.54</v>
      </c>
      <c r="AY801">
        <v>63.84</v>
      </c>
      <c r="AZ801" t="s">
        <v>40</v>
      </c>
      <c r="BA801" t="s">
        <v>36</v>
      </c>
      <c r="BB801">
        <v>318659.3</v>
      </c>
      <c r="BC801">
        <v>318659.3</v>
      </c>
      <c r="BD801">
        <v>318659.3</v>
      </c>
      <c r="BE801">
        <v>318659.3</v>
      </c>
      <c r="BF801">
        <v>343833.97</v>
      </c>
      <c r="BG801">
        <v>26220.5</v>
      </c>
      <c r="BH801">
        <v>53225.39</v>
      </c>
      <c r="BI801">
        <v>100432.46</v>
      </c>
      <c r="BJ801">
        <v>31708.18</v>
      </c>
      <c r="BK801">
        <v>68146.899999999994</v>
      </c>
      <c r="BL801">
        <v>30778.31</v>
      </c>
      <c r="BM801">
        <v>8147.56</v>
      </c>
      <c r="BN801">
        <v>30166</v>
      </c>
      <c r="BO801">
        <v>4991.33</v>
      </c>
      <c r="BP801" s="3">
        <v>45693</v>
      </c>
      <c r="BQ801">
        <v>30166</v>
      </c>
      <c r="BR801" s="3">
        <v>45639</v>
      </c>
      <c r="BS801" t="s">
        <v>981</v>
      </c>
    </row>
    <row r="802" spans="1:71" x14ac:dyDescent="0.25">
      <c r="A802" t="s">
        <v>979</v>
      </c>
      <c r="B802" t="s">
        <v>752</v>
      </c>
      <c r="C802" s="2">
        <f>HYPERLINK("https://szao.dolgi.msk.ru/account/3470420011/", 3470420011)</f>
        <v>3470420011</v>
      </c>
      <c r="D802" t="s">
        <v>29</v>
      </c>
      <c r="E802">
        <v>22852.3</v>
      </c>
      <c r="AX802">
        <v>3.66</v>
      </c>
      <c r="AY802">
        <v>3.55</v>
      </c>
      <c r="AZ802" t="s">
        <v>40</v>
      </c>
      <c r="BA802" t="s">
        <v>49</v>
      </c>
      <c r="BB802">
        <v>22852.3</v>
      </c>
      <c r="BC802">
        <v>22852.3</v>
      </c>
      <c r="BD802">
        <v>22852.3</v>
      </c>
      <c r="BE802">
        <v>22852.3</v>
      </c>
      <c r="BF802">
        <v>25013.55</v>
      </c>
      <c r="BG802">
        <v>8155.1</v>
      </c>
      <c r="BH802">
        <v>1137.1500000000001</v>
      </c>
      <c r="BI802">
        <v>1681.41</v>
      </c>
      <c r="BJ802">
        <v>488.19</v>
      </c>
      <c r="BK802">
        <v>484.31</v>
      </c>
      <c r="BL802">
        <v>9268.85</v>
      </c>
      <c r="BM802">
        <v>1637.29</v>
      </c>
      <c r="BN802">
        <v>14363.47</v>
      </c>
      <c r="BO802">
        <v>6838.75</v>
      </c>
      <c r="BP802" s="3">
        <v>45693</v>
      </c>
      <c r="BQ802">
        <v>9000</v>
      </c>
      <c r="BR802" s="3">
        <v>45637</v>
      </c>
      <c r="BS802" t="s">
        <v>982</v>
      </c>
    </row>
    <row r="803" spans="1:71" x14ac:dyDescent="0.25">
      <c r="A803" t="s">
        <v>979</v>
      </c>
      <c r="B803" t="s">
        <v>756</v>
      </c>
      <c r="C803" s="2">
        <f>HYPERLINK("https://szao.dolgi.msk.ru/account/3470420652/", 3470420652)</f>
        <v>3470420652</v>
      </c>
      <c r="D803" t="s">
        <v>29</v>
      </c>
      <c r="E803">
        <v>11555.7</v>
      </c>
      <c r="AX803">
        <v>2.02</v>
      </c>
      <c r="AY803">
        <v>2.0299999999999998</v>
      </c>
      <c r="AZ803" t="s">
        <v>30</v>
      </c>
      <c r="BA803" t="s">
        <v>31</v>
      </c>
      <c r="BB803">
        <v>11555.7</v>
      </c>
      <c r="BC803">
        <v>11555.7</v>
      </c>
      <c r="BD803">
        <v>11555.7</v>
      </c>
      <c r="BE803">
        <v>11555.7</v>
      </c>
      <c r="BF803">
        <v>5852.1</v>
      </c>
      <c r="BG803">
        <v>3641.39</v>
      </c>
      <c r="BH803">
        <v>990.68</v>
      </c>
      <c r="BI803">
        <v>1692.07</v>
      </c>
      <c r="BJ803">
        <v>476.52</v>
      </c>
      <c r="BK803">
        <v>1126.42</v>
      </c>
      <c r="BL803">
        <v>2969.88</v>
      </c>
      <c r="BM803">
        <v>658.74</v>
      </c>
      <c r="BP803" s="3">
        <v>45625</v>
      </c>
      <c r="BQ803">
        <v>10577.23</v>
      </c>
    </row>
    <row r="804" spans="1:71" x14ac:dyDescent="0.25">
      <c r="A804" t="s">
        <v>983</v>
      </c>
      <c r="B804" t="s">
        <v>473</v>
      </c>
      <c r="C804" s="2">
        <f>HYPERLINK("https://szao.dolgi.msk.ru/account/3470212351/", 3470212351)</f>
        <v>3470212351</v>
      </c>
      <c r="D804" t="s">
        <v>29</v>
      </c>
      <c r="E804">
        <v>112143.7</v>
      </c>
      <c r="AX804">
        <v>9.11</v>
      </c>
      <c r="AY804">
        <v>8.4700000000000006</v>
      </c>
      <c r="AZ804" t="s">
        <v>40</v>
      </c>
      <c r="BA804" t="s">
        <v>63</v>
      </c>
      <c r="BB804">
        <v>112143.7</v>
      </c>
      <c r="BC804">
        <v>112143.7</v>
      </c>
      <c r="BD804">
        <v>112143.7</v>
      </c>
      <c r="BE804">
        <v>112143.7</v>
      </c>
      <c r="BF804">
        <v>98898.13</v>
      </c>
      <c r="BG804">
        <v>36433.03</v>
      </c>
      <c r="BH804">
        <v>3703.33</v>
      </c>
      <c r="BI804">
        <v>14384.42</v>
      </c>
      <c r="BJ804">
        <v>3355.38</v>
      </c>
      <c r="BK804">
        <v>5679.53</v>
      </c>
      <c r="BL804">
        <v>39991.279999999999</v>
      </c>
      <c r="BM804">
        <v>8596.73</v>
      </c>
      <c r="BP804" s="3">
        <v>45608</v>
      </c>
      <c r="BQ804">
        <v>9646.7900000000009</v>
      </c>
      <c r="BR804" s="3">
        <v>45638</v>
      </c>
      <c r="BS804" t="s">
        <v>984</v>
      </c>
    </row>
    <row r="805" spans="1:71" x14ac:dyDescent="0.25">
      <c r="A805" t="s">
        <v>985</v>
      </c>
      <c r="B805" t="s">
        <v>52</v>
      </c>
      <c r="C805" s="2">
        <f>HYPERLINK("https://szao.dolgi.msk.ru/account/3470213215/", 3470213215)</f>
        <v>3470213215</v>
      </c>
      <c r="D805" t="s">
        <v>29</v>
      </c>
      <c r="E805">
        <v>18035.2</v>
      </c>
      <c r="AX805">
        <v>2.83</v>
      </c>
      <c r="AY805">
        <v>2.81</v>
      </c>
      <c r="AZ805" t="s">
        <v>30</v>
      </c>
      <c r="BA805" t="s">
        <v>31</v>
      </c>
      <c r="BB805">
        <v>18035.2</v>
      </c>
      <c r="BC805">
        <v>18035.2</v>
      </c>
      <c r="BD805">
        <v>18035.2</v>
      </c>
      <c r="BE805">
        <v>18035.2</v>
      </c>
      <c r="BF805">
        <v>11607.86</v>
      </c>
      <c r="BG805">
        <v>5320.17</v>
      </c>
      <c r="BH805">
        <v>3490.46</v>
      </c>
      <c r="BI805">
        <v>0</v>
      </c>
      <c r="BJ805">
        <v>0</v>
      </c>
      <c r="BK805">
        <v>2679.71</v>
      </c>
      <c r="BL805">
        <v>5185.63</v>
      </c>
      <c r="BM805">
        <v>1359.23</v>
      </c>
      <c r="BP805" s="3">
        <v>45624</v>
      </c>
      <c r="BQ805">
        <v>18006.04</v>
      </c>
      <c r="BR805" s="3">
        <v>45509</v>
      </c>
      <c r="BS805" t="s">
        <v>986</v>
      </c>
    </row>
    <row r="806" spans="1:71" x14ac:dyDescent="0.25">
      <c r="A806" t="s">
        <v>985</v>
      </c>
      <c r="B806" t="s">
        <v>100</v>
      </c>
      <c r="C806" s="2">
        <f>HYPERLINK("https://szao.dolgi.msk.ru/account/3470295708/", 3470295708)</f>
        <v>3470295708</v>
      </c>
      <c r="D806" t="s">
        <v>29</v>
      </c>
      <c r="E806">
        <v>4415.1000000000004</v>
      </c>
      <c r="AX806">
        <v>2.78</v>
      </c>
      <c r="AY806">
        <v>2.69</v>
      </c>
      <c r="AZ806" t="s">
        <v>30</v>
      </c>
      <c r="BA806" t="s">
        <v>31</v>
      </c>
      <c r="BB806">
        <v>4415.1000000000004</v>
      </c>
      <c r="BC806">
        <v>4415.1000000000004</v>
      </c>
      <c r="BD806">
        <v>4415.1000000000004</v>
      </c>
      <c r="BE806">
        <v>4415.1000000000004</v>
      </c>
      <c r="BF806">
        <v>7136.54</v>
      </c>
      <c r="BG806">
        <v>1820.28</v>
      </c>
      <c r="BH806">
        <v>68.39</v>
      </c>
      <c r="BI806">
        <v>0</v>
      </c>
      <c r="BJ806">
        <v>0</v>
      </c>
      <c r="BK806">
        <v>52.5</v>
      </c>
      <c r="BL806">
        <v>1960.15</v>
      </c>
      <c r="BM806">
        <v>513.78</v>
      </c>
      <c r="BN806">
        <v>2721.44</v>
      </c>
      <c r="BO806">
        <v>1639.28</v>
      </c>
      <c r="BP806" s="3">
        <v>45692</v>
      </c>
      <c r="BQ806">
        <v>4360.72</v>
      </c>
      <c r="BR806" s="3">
        <v>45145</v>
      </c>
      <c r="BS806" t="s">
        <v>987</v>
      </c>
    </row>
    <row r="807" spans="1:71" x14ac:dyDescent="0.25">
      <c r="A807" t="s">
        <v>985</v>
      </c>
      <c r="B807" t="s">
        <v>100</v>
      </c>
      <c r="C807" s="2">
        <f>HYPERLINK("https://szao.dolgi.msk.ru/account/3470295716/", 3470295716)</f>
        <v>3470295716</v>
      </c>
      <c r="D807" t="s">
        <v>29</v>
      </c>
      <c r="E807">
        <v>5845.15</v>
      </c>
      <c r="AX807">
        <v>2.71</v>
      </c>
      <c r="AY807">
        <v>2.63</v>
      </c>
      <c r="AZ807" t="s">
        <v>30</v>
      </c>
      <c r="BA807" t="s">
        <v>31</v>
      </c>
      <c r="BB807">
        <v>5845.15</v>
      </c>
      <c r="BC807">
        <v>5845.15</v>
      </c>
      <c r="BD807">
        <v>5845.15</v>
      </c>
      <c r="BE807">
        <v>5845.15</v>
      </c>
      <c r="BF807">
        <v>9419.1299999999992</v>
      </c>
      <c r="BG807">
        <v>2746.5</v>
      </c>
      <c r="BH807">
        <v>143.21</v>
      </c>
      <c r="BI807">
        <v>0</v>
      </c>
      <c r="BJ807">
        <v>0</v>
      </c>
      <c r="BK807">
        <v>109.96</v>
      </c>
      <c r="BL807">
        <v>2070.2800000000002</v>
      </c>
      <c r="BM807">
        <v>775.2</v>
      </c>
      <c r="BN807">
        <v>3573.98</v>
      </c>
      <c r="BO807">
        <v>2223.0100000000002</v>
      </c>
      <c r="BP807" s="3">
        <v>45692</v>
      </c>
      <c r="BQ807">
        <v>5796.99</v>
      </c>
    </row>
    <row r="808" spans="1:71" x14ac:dyDescent="0.25">
      <c r="A808" t="s">
        <v>985</v>
      </c>
      <c r="B808" t="s">
        <v>364</v>
      </c>
      <c r="C808" s="2">
        <f>HYPERLINK("https://szao.dolgi.msk.ru/account/3470212677/", 3470212677)</f>
        <v>3470212677</v>
      </c>
      <c r="D808" t="s">
        <v>29</v>
      </c>
      <c r="E808">
        <v>7732.97</v>
      </c>
      <c r="AX808">
        <v>2.8</v>
      </c>
      <c r="AY808">
        <v>2.67</v>
      </c>
      <c r="AZ808" t="s">
        <v>30</v>
      </c>
      <c r="BA808" t="s">
        <v>31</v>
      </c>
      <c r="BB808">
        <v>7732.97</v>
      </c>
      <c r="BC808">
        <v>7732.97</v>
      </c>
      <c r="BD808">
        <v>7732.97</v>
      </c>
      <c r="BE808">
        <v>7732.97</v>
      </c>
      <c r="BF808">
        <v>14941.98</v>
      </c>
      <c r="BG808">
        <v>3108.67</v>
      </c>
      <c r="BH808">
        <v>225.85</v>
      </c>
      <c r="BI808">
        <v>0</v>
      </c>
      <c r="BJ808">
        <v>0</v>
      </c>
      <c r="BK808">
        <v>173.47</v>
      </c>
      <c r="BL808">
        <v>3347.53</v>
      </c>
      <c r="BM808">
        <v>877.45</v>
      </c>
      <c r="BN808">
        <v>7209.01</v>
      </c>
      <c r="BO808">
        <v>2897.75</v>
      </c>
      <c r="BP808" s="3">
        <v>45692</v>
      </c>
      <c r="BQ808">
        <v>10106.76</v>
      </c>
      <c r="BR808" s="3">
        <v>45323</v>
      </c>
      <c r="BS808" t="s">
        <v>988</v>
      </c>
    </row>
    <row r="809" spans="1:71" x14ac:dyDescent="0.25">
      <c r="A809" t="s">
        <v>985</v>
      </c>
      <c r="B809" t="s">
        <v>309</v>
      </c>
      <c r="C809" s="2">
        <f>HYPERLINK("https://szao.dolgi.msk.ru/account/3470212693/", 3470212693)</f>
        <v>3470212693</v>
      </c>
      <c r="D809" t="s">
        <v>29</v>
      </c>
      <c r="E809">
        <v>78312.009999999995</v>
      </c>
      <c r="AX809">
        <v>5.64</v>
      </c>
      <c r="AY809">
        <v>5.68</v>
      </c>
      <c r="AZ809" t="s">
        <v>69</v>
      </c>
      <c r="BA809" t="s">
        <v>49</v>
      </c>
      <c r="BB809">
        <v>78312.009999999995</v>
      </c>
      <c r="BC809">
        <v>78312.009999999995</v>
      </c>
      <c r="BD809">
        <v>78312.009999999995</v>
      </c>
      <c r="BE809">
        <v>78312.009999999995</v>
      </c>
      <c r="BF809">
        <v>64531.25</v>
      </c>
      <c r="BG809">
        <v>17794.03</v>
      </c>
      <c r="BH809">
        <v>21226.62</v>
      </c>
      <c r="BI809">
        <v>0</v>
      </c>
      <c r="BJ809">
        <v>0</v>
      </c>
      <c r="BK809">
        <v>16296.24</v>
      </c>
      <c r="BL809">
        <v>18219.54</v>
      </c>
      <c r="BM809">
        <v>4775.58</v>
      </c>
      <c r="BP809" s="3">
        <v>45532</v>
      </c>
      <c r="BQ809">
        <v>78013.289999999994</v>
      </c>
    </row>
    <row r="810" spans="1:71" x14ac:dyDescent="0.25">
      <c r="A810" t="s">
        <v>985</v>
      </c>
      <c r="B810" t="s">
        <v>103</v>
      </c>
      <c r="C810" s="2">
        <f>HYPERLINK("https://szao.dolgi.msk.ru/account/3470212837/", 3470212837)</f>
        <v>3470212837</v>
      </c>
      <c r="D810" t="s">
        <v>29</v>
      </c>
      <c r="E810">
        <v>34249.43</v>
      </c>
      <c r="AX810">
        <v>3.69</v>
      </c>
      <c r="AY810">
        <v>3.7</v>
      </c>
      <c r="AZ810" t="s">
        <v>40</v>
      </c>
      <c r="BA810" t="s">
        <v>49</v>
      </c>
      <c r="BB810">
        <v>34249.43</v>
      </c>
      <c r="BC810">
        <v>34249.43</v>
      </c>
      <c r="BD810">
        <v>34249.43</v>
      </c>
      <c r="BE810">
        <v>34249.43</v>
      </c>
      <c r="BF810">
        <v>24983.040000000001</v>
      </c>
      <c r="BG810">
        <v>9913.7900000000009</v>
      </c>
      <c r="BH810">
        <v>6813.15</v>
      </c>
      <c r="BI810">
        <v>0</v>
      </c>
      <c r="BJ810">
        <v>0</v>
      </c>
      <c r="BK810">
        <v>5256.37</v>
      </c>
      <c r="BL810">
        <v>9672.85</v>
      </c>
      <c r="BM810">
        <v>2593.27</v>
      </c>
      <c r="BP810" s="3">
        <v>45616</v>
      </c>
      <c r="BQ810">
        <v>8553.08</v>
      </c>
    </row>
    <row r="811" spans="1:71" x14ac:dyDescent="0.25">
      <c r="A811" t="s">
        <v>985</v>
      </c>
      <c r="B811" t="s">
        <v>279</v>
      </c>
      <c r="C811" s="2">
        <f>HYPERLINK("https://szao.dolgi.msk.ru/account/3470295791/", 3470295791)</f>
        <v>3470295791</v>
      </c>
      <c r="D811" t="s">
        <v>29</v>
      </c>
      <c r="E811">
        <v>25189.43</v>
      </c>
      <c r="AX811">
        <v>10.66</v>
      </c>
      <c r="AY811">
        <v>10.67</v>
      </c>
      <c r="AZ811" t="s">
        <v>45</v>
      </c>
      <c r="BA811" t="s">
        <v>63</v>
      </c>
      <c r="BB811">
        <v>25189.43</v>
      </c>
      <c r="BC811">
        <v>25189.43</v>
      </c>
      <c r="BD811">
        <v>25189.43</v>
      </c>
      <c r="BE811">
        <v>25189.43</v>
      </c>
      <c r="BF811">
        <v>22828.45</v>
      </c>
      <c r="BG811">
        <v>9816.08</v>
      </c>
      <c r="BH811">
        <v>1566.55</v>
      </c>
      <c r="BI811">
        <v>0</v>
      </c>
      <c r="BJ811">
        <v>0</v>
      </c>
      <c r="BK811">
        <v>1214.72</v>
      </c>
      <c r="BL811">
        <v>9897.44</v>
      </c>
      <c r="BM811">
        <v>2694.64</v>
      </c>
      <c r="BP811" s="3">
        <v>45349</v>
      </c>
      <c r="BQ811">
        <v>1967.39</v>
      </c>
      <c r="BR811" s="3">
        <v>45589</v>
      </c>
      <c r="BS811" t="s">
        <v>989</v>
      </c>
    </row>
    <row r="812" spans="1:71" x14ac:dyDescent="0.25">
      <c r="A812" t="s">
        <v>985</v>
      </c>
      <c r="B812" t="s">
        <v>245</v>
      </c>
      <c r="C812" s="2">
        <f>HYPERLINK("https://szao.dolgi.msk.ru/account/3470295863/", 3470295863)</f>
        <v>3470295863</v>
      </c>
      <c r="D812" t="s">
        <v>29</v>
      </c>
      <c r="E812">
        <v>12562.29</v>
      </c>
      <c r="AX812">
        <v>4.4400000000000004</v>
      </c>
      <c r="AY812">
        <v>4.83</v>
      </c>
      <c r="AZ812" t="s">
        <v>69</v>
      </c>
      <c r="BA812" t="s">
        <v>49</v>
      </c>
      <c r="BB812">
        <v>12562.29</v>
      </c>
      <c r="BC812">
        <v>12562.29</v>
      </c>
      <c r="BD812">
        <v>12562.29</v>
      </c>
      <c r="BE812">
        <v>12562.29</v>
      </c>
      <c r="BF812">
        <v>9963.27</v>
      </c>
      <c r="BG812">
        <v>3726.31</v>
      </c>
      <c r="BH812">
        <v>2960.91</v>
      </c>
      <c r="BI812">
        <v>0</v>
      </c>
      <c r="BJ812">
        <v>0</v>
      </c>
      <c r="BK812">
        <v>2204.21</v>
      </c>
      <c r="BL812">
        <v>2670.78</v>
      </c>
      <c r="BM812">
        <v>1000.08</v>
      </c>
      <c r="BP812" s="3">
        <v>45588</v>
      </c>
      <c r="BQ812">
        <v>10641.49</v>
      </c>
      <c r="BR812" s="3">
        <v>45699</v>
      </c>
      <c r="BS812" t="s">
        <v>990</v>
      </c>
    </row>
    <row r="813" spans="1:71" x14ac:dyDescent="0.25">
      <c r="A813" t="s">
        <v>985</v>
      </c>
      <c r="B813" t="s">
        <v>245</v>
      </c>
      <c r="C813" s="2">
        <f>HYPERLINK("https://szao.dolgi.msk.ru/account/3470606748/", 3470606748)</f>
        <v>3470606748</v>
      </c>
      <c r="D813" t="s">
        <v>29</v>
      </c>
      <c r="E813">
        <v>15812.84</v>
      </c>
      <c r="AX813">
        <v>9.15</v>
      </c>
      <c r="AY813">
        <v>9.27</v>
      </c>
      <c r="AZ813" t="s">
        <v>56</v>
      </c>
      <c r="BA813" t="s">
        <v>63</v>
      </c>
      <c r="BB813">
        <v>15812.84</v>
      </c>
      <c r="BC813">
        <v>15812.84</v>
      </c>
      <c r="BD813">
        <v>15812.84</v>
      </c>
      <c r="BE813">
        <v>15812.84</v>
      </c>
      <c r="BF813">
        <v>14106.15</v>
      </c>
      <c r="BG813">
        <v>6592.29</v>
      </c>
      <c r="BH813">
        <v>392.96</v>
      </c>
      <c r="BI813">
        <v>0</v>
      </c>
      <c r="BJ813">
        <v>0</v>
      </c>
      <c r="BK813">
        <v>336.16</v>
      </c>
      <c r="BL813">
        <v>6689.7</v>
      </c>
      <c r="BM813">
        <v>1801.73</v>
      </c>
    </row>
    <row r="814" spans="1:71" x14ac:dyDescent="0.25">
      <c r="A814" t="s">
        <v>991</v>
      </c>
      <c r="B814" t="s">
        <v>147</v>
      </c>
      <c r="C814" s="2">
        <f>HYPERLINK("https://szao.dolgi.msk.ru/account/3470214533/", 3470214533)</f>
        <v>3470214533</v>
      </c>
      <c r="D814" t="s">
        <v>29</v>
      </c>
      <c r="E814">
        <v>23715.78</v>
      </c>
      <c r="AX814">
        <v>3.13</v>
      </c>
      <c r="AY814">
        <v>2.98</v>
      </c>
      <c r="AZ814" t="s">
        <v>69</v>
      </c>
      <c r="BA814" t="s">
        <v>49</v>
      </c>
      <c r="BB814">
        <v>23715.78</v>
      </c>
      <c r="BC814">
        <v>23715.78</v>
      </c>
      <c r="BD814">
        <v>25598.95</v>
      </c>
      <c r="BE814">
        <v>25598.95</v>
      </c>
      <c r="BF814">
        <v>15768.35</v>
      </c>
      <c r="BG814">
        <v>8927.8799999999992</v>
      </c>
      <c r="BH814">
        <v>-1883.17</v>
      </c>
      <c r="BI814">
        <v>2536.84</v>
      </c>
      <c r="BJ814">
        <v>746.5</v>
      </c>
      <c r="BK814">
        <v>81.17</v>
      </c>
      <c r="BL814">
        <v>11575.32</v>
      </c>
      <c r="BM814">
        <v>1731.24</v>
      </c>
      <c r="BP814" s="3">
        <v>45581</v>
      </c>
      <c r="BQ814">
        <v>552.84</v>
      </c>
      <c r="BR814" s="3">
        <v>45637</v>
      </c>
      <c r="BS814" t="s">
        <v>992</v>
      </c>
    </row>
    <row r="815" spans="1:71" x14ac:dyDescent="0.25">
      <c r="A815" t="s">
        <v>991</v>
      </c>
      <c r="B815" t="s">
        <v>502</v>
      </c>
      <c r="C815" s="2">
        <f>HYPERLINK("https://szao.dolgi.msk.ru/account/3470213645/", 3470213645)</f>
        <v>3470213645</v>
      </c>
      <c r="D815" t="s">
        <v>29</v>
      </c>
      <c r="E815">
        <v>388555.85</v>
      </c>
      <c r="AX815">
        <v>38.68</v>
      </c>
      <c r="AY815">
        <v>33.15</v>
      </c>
      <c r="AZ815" t="s">
        <v>56</v>
      </c>
      <c r="BA815" t="s">
        <v>36</v>
      </c>
      <c r="BB815">
        <v>388555.85</v>
      </c>
      <c r="BC815">
        <v>388555.85</v>
      </c>
      <c r="BD815">
        <v>388555.85</v>
      </c>
      <c r="BE815">
        <v>388555.85</v>
      </c>
      <c r="BF815">
        <v>376833.26</v>
      </c>
      <c r="BG815">
        <v>71886.31</v>
      </c>
      <c r="BH815">
        <v>35613.82</v>
      </c>
      <c r="BI815">
        <v>108894.05</v>
      </c>
      <c r="BJ815">
        <v>30936.080000000002</v>
      </c>
      <c r="BK815">
        <v>33703.410000000003</v>
      </c>
      <c r="BL815">
        <v>94347.79</v>
      </c>
      <c r="BM815">
        <v>13174.39</v>
      </c>
      <c r="BP815" s="3">
        <v>45596</v>
      </c>
      <c r="BQ815">
        <v>0</v>
      </c>
      <c r="BR815" s="3">
        <v>45174</v>
      </c>
      <c r="BS815" t="s">
        <v>61</v>
      </c>
    </row>
    <row r="816" spans="1:71" x14ac:dyDescent="0.25">
      <c r="A816" t="s">
        <v>991</v>
      </c>
      <c r="B816" t="s">
        <v>313</v>
      </c>
      <c r="C816" s="2">
        <f>HYPERLINK("https://szao.dolgi.msk.ru/account/3470295652/", 3470295652)</f>
        <v>3470295652</v>
      </c>
      <c r="D816" t="s">
        <v>29</v>
      </c>
      <c r="E816">
        <v>3482.02</v>
      </c>
      <c r="AX816">
        <v>3.39</v>
      </c>
      <c r="AY816">
        <v>2.21</v>
      </c>
      <c r="AZ816" t="s">
        <v>35</v>
      </c>
      <c r="BA816" t="s">
        <v>49</v>
      </c>
      <c r="BB816">
        <v>3482.02</v>
      </c>
      <c r="BC816">
        <v>3482.02</v>
      </c>
      <c r="BD816">
        <v>3482.02</v>
      </c>
      <c r="BE816">
        <v>3482.02</v>
      </c>
      <c r="BF816">
        <v>3482.02</v>
      </c>
      <c r="BG816">
        <v>959.47</v>
      </c>
      <c r="BH816">
        <v>173.3</v>
      </c>
      <c r="BI816">
        <v>605.72</v>
      </c>
      <c r="BJ816">
        <v>242.35</v>
      </c>
      <c r="BK816">
        <v>253.7</v>
      </c>
      <c r="BL816">
        <v>1013.17</v>
      </c>
      <c r="BM816">
        <v>234.31</v>
      </c>
      <c r="BN816">
        <v>1398</v>
      </c>
      <c r="BO816">
        <v>1578.31</v>
      </c>
      <c r="BP816" s="3">
        <v>45694</v>
      </c>
      <c r="BQ816">
        <v>1578.31</v>
      </c>
      <c r="BR816" s="3">
        <v>45631</v>
      </c>
      <c r="BS816" t="s">
        <v>993</v>
      </c>
    </row>
    <row r="817" spans="1:71" x14ac:dyDescent="0.25">
      <c r="A817" t="s">
        <v>991</v>
      </c>
      <c r="B817" t="s">
        <v>443</v>
      </c>
      <c r="C817" s="2">
        <f>HYPERLINK("https://szao.dolgi.msk.ru/account/3470553754/", 3470553754)</f>
        <v>3470553754</v>
      </c>
      <c r="D817" t="s">
        <v>29</v>
      </c>
      <c r="E817">
        <v>23249.14</v>
      </c>
      <c r="AX817">
        <v>2.83</v>
      </c>
      <c r="AY817">
        <v>2.85</v>
      </c>
      <c r="AZ817" t="s">
        <v>30</v>
      </c>
      <c r="BA817" t="s">
        <v>31</v>
      </c>
      <c r="BB817">
        <v>23249.14</v>
      </c>
      <c r="BC817">
        <v>23249.14</v>
      </c>
      <c r="BD817">
        <v>23249.14</v>
      </c>
      <c r="BE817">
        <v>23249.14</v>
      </c>
      <c r="BF817">
        <v>15079.46</v>
      </c>
      <c r="BG817">
        <v>6728.56</v>
      </c>
      <c r="BH817">
        <v>1244.1300000000001</v>
      </c>
      <c r="BI817">
        <v>3022.65</v>
      </c>
      <c r="BJ817">
        <v>851.25</v>
      </c>
      <c r="BK817">
        <v>1608.69</v>
      </c>
      <c r="BL817">
        <v>8519.64</v>
      </c>
      <c r="BM817">
        <v>1274.22</v>
      </c>
      <c r="BP817" s="3">
        <v>45608</v>
      </c>
      <c r="BQ817">
        <v>22619.19</v>
      </c>
    </row>
    <row r="818" spans="1:71" x14ac:dyDescent="0.25">
      <c r="A818" t="s">
        <v>994</v>
      </c>
      <c r="B818" t="s">
        <v>743</v>
      </c>
      <c r="C818" s="2">
        <f>HYPERLINK("https://szao.dolgi.msk.ru/account/3470221725/", 3470221725)</f>
        <v>3470221725</v>
      </c>
      <c r="D818" t="s">
        <v>29</v>
      </c>
      <c r="E818">
        <v>168280.53</v>
      </c>
      <c r="AX818">
        <v>16.8</v>
      </c>
      <c r="AY818">
        <v>16.21</v>
      </c>
      <c r="AZ818" t="s">
        <v>45</v>
      </c>
      <c r="BA818" t="s">
        <v>36</v>
      </c>
      <c r="BB818">
        <v>168280.53</v>
      </c>
      <c r="BC818">
        <v>168280.53</v>
      </c>
      <c r="BD818">
        <v>168280.53</v>
      </c>
      <c r="BE818">
        <v>168280.53</v>
      </c>
      <c r="BF818">
        <v>157898.82999999999</v>
      </c>
      <c r="BG818">
        <v>46396.27</v>
      </c>
      <c r="BH818">
        <v>10013.1</v>
      </c>
      <c r="BI818">
        <v>30041.279999999999</v>
      </c>
      <c r="BJ818">
        <v>8142.15</v>
      </c>
      <c r="BK818">
        <v>15105.16</v>
      </c>
      <c r="BL818">
        <v>48638.14</v>
      </c>
      <c r="BM818">
        <v>9944.43</v>
      </c>
      <c r="BP818" s="3">
        <v>45454</v>
      </c>
      <c r="BQ818">
        <v>7012.25</v>
      </c>
      <c r="BR818" s="3">
        <v>44851</v>
      </c>
      <c r="BS818" t="s">
        <v>995</v>
      </c>
    </row>
    <row r="819" spans="1:71" x14ac:dyDescent="0.25">
      <c r="A819" t="s">
        <v>994</v>
      </c>
      <c r="B819" t="s">
        <v>996</v>
      </c>
      <c r="C819" s="2">
        <f>HYPERLINK("https://szao.dolgi.msk.ru/account/3470221768/", 3470221768)</f>
        <v>3470221768</v>
      </c>
      <c r="D819" t="s">
        <v>29</v>
      </c>
      <c r="E819">
        <v>6193.04</v>
      </c>
      <c r="AX819">
        <v>4.99</v>
      </c>
      <c r="AY819">
        <v>1.1499999999999999</v>
      </c>
      <c r="AZ819" t="s">
        <v>40</v>
      </c>
      <c r="BA819" t="s">
        <v>49</v>
      </c>
      <c r="BB819">
        <v>6193.04</v>
      </c>
      <c r="BC819">
        <v>6193.04</v>
      </c>
      <c r="BD819">
        <v>27306.33</v>
      </c>
      <c r="BE819">
        <v>27306.33</v>
      </c>
      <c r="BF819">
        <v>823.55</v>
      </c>
      <c r="BG819">
        <v>11247.7</v>
      </c>
      <c r="BH819">
        <v>-23.6</v>
      </c>
      <c r="BI819">
        <v>583.19000000000005</v>
      </c>
      <c r="BJ819">
        <v>304.74</v>
      </c>
      <c r="BK819">
        <v>-21089.69</v>
      </c>
      <c r="BL819">
        <v>12304.23</v>
      </c>
      <c r="BM819">
        <v>2866.47</v>
      </c>
      <c r="BN819">
        <v>9410.76</v>
      </c>
      <c r="BP819" s="3">
        <v>45687</v>
      </c>
      <c r="BQ819">
        <v>4620.49</v>
      </c>
      <c r="BR819" s="3">
        <v>45638</v>
      </c>
      <c r="BS819" t="s">
        <v>997</v>
      </c>
    </row>
    <row r="820" spans="1:71" x14ac:dyDescent="0.25">
      <c r="A820" t="s">
        <v>998</v>
      </c>
      <c r="B820" t="s">
        <v>52</v>
      </c>
      <c r="C820" s="2">
        <f>HYPERLINK("https://szao.dolgi.msk.ru/account/3470225873/", 3470225873)</f>
        <v>3470225873</v>
      </c>
      <c r="D820" t="s">
        <v>29</v>
      </c>
      <c r="E820">
        <v>117569.36</v>
      </c>
      <c r="AX820">
        <v>8.36</v>
      </c>
      <c r="AY820">
        <v>7.59</v>
      </c>
      <c r="AZ820" t="s">
        <v>40</v>
      </c>
      <c r="BA820" t="s">
        <v>66</v>
      </c>
      <c r="BB820">
        <v>117569.36</v>
      </c>
      <c r="BC820">
        <v>117569.36</v>
      </c>
      <c r="BD820">
        <v>117569.36</v>
      </c>
      <c r="BE820">
        <v>117569.36</v>
      </c>
      <c r="BF820">
        <v>118794.25</v>
      </c>
      <c r="BG820">
        <v>27998.68</v>
      </c>
      <c r="BH820">
        <v>7280.3</v>
      </c>
      <c r="BI820">
        <v>17755.490000000002</v>
      </c>
      <c r="BJ820">
        <v>4958.16</v>
      </c>
      <c r="BK820">
        <v>7740.85</v>
      </c>
      <c r="BL820">
        <v>47237.96</v>
      </c>
      <c r="BM820">
        <v>4597.92</v>
      </c>
      <c r="BN820">
        <v>1224.8900000000001</v>
      </c>
      <c r="BO820">
        <v>15482.02</v>
      </c>
      <c r="BP820" s="3">
        <v>45698</v>
      </c>
      <c r="BQ820">
        <v>16706.91</v>
      </c>
      <c r="BR820" s="3">
        <v>45184</v>
      </c>
      <c r="BS820" t="s">
        <v>999</v>
      </c>
    </row>
    <row r="821" spans="1:71" x14ac:dyDescent="0.25">
      <c r="A821" t="s">
        <v>998</v>
      </c>
      <c r="B821" t="s">
        <v>152</v>
      </c>
      <c r="C821" s="2">
        <f>HYPERLINK("https://szao.dolgi.msk.ru/account/3470225427/", 3470225427)</f>
        <v>3470225427</v>
      </c>
      <c r="D821" t="s">
        <v>29</v>
      </c>
      <c r="E821">
        <v>88428.81</v>
      </c>
      <c r="AX821">
        <v>7.53</v>
      </c>
      <c r="AY821">
        <v>7.4</v>
      </c>
      <c r="AZ821" t="s">
        <v>45</v>
      </c>
      <c r="BA821" t="s">
        <v>66</v>
      </c>
      <c r="BB821">
        <v>88428.81</v>
      </c>
      <c r="BC821">
        <v>88428.81</v>
      </c>
      <c r="BD821">
        <v>88428.81</v>
      </c>
      <c r="BE821">
        <v>88428.81</v>
      </c>
      <c r="BF821">
        <v>77039.72</v>
      </c>
      <c r="BG821">
        <v>31065.83</v>
      </c>
      <c r="BH821">
        <v>3148.2</v>
      </c>
      <c r="BI821">
        <v>3988.99</v>
      </c>
      <c r="BJ821">
        <v>1099.8800000000001</v>
      </c>
      <c r="BK821">
        <v>3286.17</v>
      </c>
      <c r="BL821">
        <v>39331.360000000001</v>
      </c>
      <c r="BM821">
        <v>6508.38</v>
      </c>
      <c r="BP821" s="3">
        <v>45426</v>
      </c>
      <c r="BQ821">
        <v>28395.07</v>
      </c>
      <c r="BR821" s="3">
        <v>44890</v>
      </c>
      <c r="BS821" t="s">
        <v>1000</v>
      </c>
    </row>
    <row r="822" spans="1:71" x14ac:dyDescent="0.25">
      <c r="A822" t="s">
        <v>998</v>
      </c>
      <c r="B822" t="s">
        <v>279</v>
      </c>
      <c r="C822" s="2">
        <f>HYPERLINK("https://szao.dolgi.msk.ru/account/3470225603/", 3470225603)</f>
        <v>3470225603</v>
      </c>
      <c r="D822" t="s">
        <v>29</v>
      </c>
      <c r="E822">
        <v>89862.95</v>
      </c>
      <c r="AX822">
        <v>6.96</v>
      </c>
      <c r="AY822">
        <v>6</v>
      </c>
      <c r="AZ822" t="s">
        <v>30</v>
      </c>
      <c r="BA822" t="s">
        <v>66</v>
      </c>
      <c r="BB822">
        <v>89862.95</v>
      </c>
      <c r="BC822">
        <v>89862.95</v>
      </c>
      <c r="BD822">
        <v>89862.95</v>
      </c>
      <c r="BE822">
        <v>89862.95</v>
      </c>
      <c r="BF822">
        <v>74886.09</v>
      </c>
      <c r="BG822">
        <v>8550.09</v>
      </c>
      <c r="BH822">
        <v>7016.19</v>
      </c>
      <c r="BI822">
        <v>8650.31</v>
      </c>
      <c r="BJ822">
        <v>2222.2399999999998</v>
      </c>
      <c r="BK822">
        <v>7350.88</v>
      </c>
      <c r="BL822">
        <v>47341.04</v>
      </c>
      <c r="BM822">
        <v>8732.2000000000007</v>
      </c>
      <c r="BP822" s="3">
        <v>45636</v>
      </c>
      <c r="BQ822">
        <v>19038.169999999998</v>
      </c>
      <c r="BR822" s="3">
        <v>45666</v>
      </c>
      <c r="BS822" t="s">
        <v>1001</v>
      </c>
    </row>
    <row r="823" spans="1:71" x14ac:dyDescent="0.25">
      <c r="A823" t="s">
        <v>998</v>
      </c>
      <c r="B823" t="s">
        <v>313</v>
      </c>
      <c r="C823" s="2">
        <f>HYPERLINK("https://szao.dolgi.msk.ru/account/3470225953/", 3470225953)</f>
        <v>3470225953</v>
      </c>
      <c r="D823" t="s">
        <v>29</v>
      </c>
      <c r="E823">
        <v>37736.46</v>
      </c>
      <c r="AX823">
        <v>5.24</v>
      </c>
      <c r="AY823">
        <v>4.46</v>
      </c>
      <c r="AZ823" t="s">
        <v>142</v>
      </c>
      <c r="BA823" t="s">
        <v>49</v>
      </c>
      <c r="BB823">
        <v>37736.46</v>
      </c>
      <c r="BC823">
        <v>37736.46</v>
      </c>
      <c r="BD823">
        <v>37736.46</v>
      </c>
      <c r="BE823">
        <v>37736.46</v>
      </c>
      <c r="BF823">
        <v>29281.05</v>
      </c>
      <c r="BG823">
        <v>4127.3500000000004</v>
      </c>
      <c r="BH823">
        <v>5196.2</v>
      </c>
      <c r="BI823">
        <v>9879.84</v>
      </c>
      <c r="BJ823">
        <v>3251.44</v>
      </c>
      <c r="BK823">
        <v>7347.7</v>
      </c>
      <c r="BL823">
        <v>7705.27</v>
      </c>
      <c r="BM823">
        <v>228.66</v>
      </c>
      <c r="BN823">
        <v>2746.98</v>
      </c>
      <c r="BO823">
        <v>75.47</v>
      </c>
      <c r="BP823" s="3">
        <v>45682</v>
      </c>
      <c r="BQ823">
        <v>2822.45</v>
      </c>
      <c r="BR823" s="3">
        <v>45672</v>
      </c>
      <c r="BS823" t="s">
        <v>1002</v>
      </c>
    </row>
    <row r="824" spans="1:71" x14ac:dyDescent="0.25">
      <c r="A824" t="s">
        <v>998</v>
      </c>
      <c r="B824" t="s">
        <v>335</v>
      </c>
      <c r="C824" s="2">
        <f>HYPERLINK("https://szao.dolgi.msk.ru/account/3470226016/", 3470226016)</f>
        <v>3470226016</v>
      </c>
      <c r="D824" t="s">
        <v>29</v>
      </c>
      <c r="E824">
        <v>24696.02</v>
      </c>
      <c r="AX824">
        <v>2.65</v>
      </c>
      <c r="AY824">
        <v>2.74</v>
      </c>
      <c r="AZ824" t="s">
        <v>40</v>
      </c>
      <c r="BA824" t="s">
        <v>31</v>
      </c>
      <c r="BB824">
        <v>24696.02</v>
      </c>
      <c r="BC824">
        <v>24696.02</v>
      </c>
      <c r="BD824">
        <v>24696.02</v>
      </c>
      <c r="BE824">
        <v>24696.02</v>
      </c>
      <c r="BF824">
        <v>15681.88</v>
      </c>
      <c r="BG824">
        <v>9777.02</v>
      </c>
      <c r="BH824">
        <v>0</v>
      </c>
      <c r="BI824">
        <v>0</v>
      </c>
      <c r="BJ824">
        <v>0</v>
      </c>
      <c r="BK824">
        <v>0</v>
      </c>
      <c r="BL824">
        <v>13058.85</v>
      </c>
      <c r="BM824">
        <v>1860.15</v>
      </c>
      <c r="BP824" s="3">
        <v>45611</v>
      </c>
      <c r="BQ824">
        <v>7840.94</v>
      </c>
    </row>
    <row r="825" spans="1:71" x14ac:dyDescent="0.25">
      <c r="A825" t="s">
        <v>998</v>
      </c>
      <c r="B825" t="s">
        <v>207</v>
      </c>
      <c r="C825" s="2">
        <f>HYPERLINK("https://szao.dolgi.msk.ru/account/3470306016/", 3470306016)</f>
        <v>3470306016</v>
      </c>
      <c r="D825" t="s">
        <v>29</v>
      </c>
      <c r="E825">
        <v>256737.76</v>
      </c>
      <c r="AX825">
        <v>29.96</v>
      </c>
      <c r="AY825">
        <v>28.41</v>
      </c>
      <c r="AZ825" t="s">
        <v>56</v>
      </c>
      <c r="BA825" t="s">
        <v>36</v>
      </c>
      <c r="BB825">
        <v>256737.76</v>
      </c>
      <c r="BC825">
        <v>256737.76</v>
      </c>
      <c r="BD825">
        <v>256737.76</v>
      </c>
      <c r="BE825">
        <v>256737.76</v>
      </c>
      <c r="BF825">
        <v>247702.37</v>
      </c>
      <c r="BG825">
        <v>28382.53</v>
      </c>
      <c r="BH825">
        <v>33657.72</v>
      </c>
      <c r="BI825">
        <v>75666.16</v>
      </c>
      <c r="BJ825">
        <v>20237.55</v>
      </c>
      <c r="BK825">
        <v>40944.239999999998</v>
      </c>
      <c r="BL825">
        <v>51493.77</v>
      </c>
      <c r="BM825">
        <v>6355.79</v>
      </c>
      <c r="BP825" s="3">
        <v>45596</v>
      </c>
      <c r="BQ825">
        <v>0</v>
      </c>
      <c r="BR825" s="3">
        <v>45553</v>
      </c>
      <c r="BS825" t="s">
        <v>1003</v>
      </c>
    </row>
    <row r="826" spans="1:71" x14ac:dyDescent="0.25">
      <c r="A826" t="s">
        <v>998</v>
      </c>
      <c r="B826" t="s">
        <v>207</v>
      </c>
      <c r="C826" s="2">
        <f>HYPERLINK("https://szao.dolgi.msk.ru/account/3470306024/", 3470306024)</f>
        <v>3470306024</v>
      </c>
      <c r="D826" t="s">
        <v>29</v>
      </c>
      <c r="E826">
        <v>5086.34</v>
      </c>
      <c r="AX826">
        <v>2.59</v>
      </c>
      <c r="AY826">
        <v>2.65</v>
      </c>
      <c r="AZ826" t="s">
        <v>40</v>
      </c>
      <c r="BA826" t="s">
        <v>31</v>
      </c>
      <c r="BB826">
        <v>5086.34</v>
      </c>
      <c r="BC826">
        <v>5086.34</v>
      </c>
      <c r="BD826">
        <v>5776.87</v>
      </c>
      <c r="BE826">
        <v>5776.87</v>
      </c>
      <c r="BF826">
        <v>3167.27</v>
      </c>
      <c r="BG826">
        <v>1857.39</v>
      </c>
      <c r="BH826">
        <v>-690.53</v>
      </c>
      <c r="BI826">
        <v>0</v>
      </c>
      <c r="BJ826">
        <v>145.13</v>
      </c>
      <c r="BK826">
        <v>545.4</v>
      </c>
      <c r="BL826">
        <v>3023.34</v>
      </c>
      <c r="BM826">
        <v>205.61</v>
      </c>
      <c r="BP826" s="3">
        <v>45650</v>
      </c>
      <c r="BQ826">
        <v>1552.61</v>
      </c>
    </row>
    <row r="827" spans="1:71" x14ac:dyDescent="0.25">
      <c r="A827" t="s">
        <v>998</v>
      </c>
      <c r="B827" t="s">
        <v>207</v>
      </c>
      <c r="C827" s="2">
        <f>HYPERLINK("https://szao.dolgi.msk.ru/account/3470306032/", 3470306032)</f>
        <v>3470306032</v>
      </c>
      <c r="D827" t="s">
        <v>29</v>
      </c>
      <c r="E827">
        <v>214179.84</v>
      </c>
      <c r="AX827">
        <v>23.56</v>
      </c>
      <c r="AY827">
        <v>22.05</v>
      </c>
      <c r="AZ827" t="s">
        <v>56</v>
      </c>
      <c r="BA827" t="s">
        <v>36</v>
      </c>
      <c r="BB827">
        <v>214179.84</v>
      </c>
      <c r="BC827">
        <v>214179.84</v>
      </c>
      <c r="BD827">
        <v>214179.84</v>
      </c>
      <c r="BE827">
        <v>214179.84</v>
      </c>
      <c r="BF827">
        <v>204466.28</v>
      </c>
      <c r="BG827">
        <v>26651.68</v>
      </c>
      <c r="BH827">
        <v>27714.720000000001</v>
      </c>
      <c r="BI827">
        <v>66244.06</v>
      </c>
      <c r="BJ827">
        <v>17792.849999999999</v>
      </c>
      <c r="BK827">
        <v>17064.439999999999</v>
      </c>
      <c r="BL827">
        <v>50710.62</v>
      </c>
      <c r="BM827">
        <v>8001.47</v>
      </c>
      <c r="BP827" s="3">
        <v>45626</v>
      </c>
      <c r="BQ827">
        <v>0</v>
      </c>
      <c r="BR827" s="3">
        <v>45593</v>
      </c>
      <c r="BS827" t="s">
        <v>1004</v>
      </c>
    </row>
    <row r="828" spans="1:71" x14ac:dyDescent="0.25">
      <c r="A828" t="s">
        <v>998</v>
      </c>
      <c r="B828" t="s">
        <v>207</v>
      </c>
      <c r="C828" s="2">
        <f>HYPERLINK("https://szao.dolgi.msk.ru/account/3470306059/", 3470306059)</f>
        <v>3470306059</v>
      </c>
      <c r="D828" t="s">
        <v>29</v>
      </c>
      <c r="E828">
        <v>148861.97</v>
      </c>
      <c r="AX828">
        <v>20.64</v>
      </c>
      <c r="AY828">
        <v>19.61</v>
      </c>
      <c r="AZ828" t="s">
        <v>40</v>
      </c>
      <c r="BA828" t="s">
        <v>36</v>
      </c>
      <c r="BB828">
        <v>148861.97</v>
      </c>
      <c r="BC828">
        <v>148861.97</v>
      </c>
      <c r="BD828">
        <v>148861.97</v>
      </c>
      <c r="BE828">
        <v>148861.97</v>
      </c>
      <c r="BF828">
        <v>141269.48000000001</v>
      </c>
      <c r="BG828">
        <v>1211.42</v>
      </c>
      <c r="BH828">
        <v>30094.97</v>
      </c>
      <c r="BI828">
        <v>52563.26</v>
      </c>
      <c r="BJ828">
        <v>19237.55</v>
      </c>
      <c r="BK828">
        <v>35893.74</v>
      </c>
      <c r="BL828">
        <v>9309.4500000000007</v>
      </c>
      <c r="BM828">
        <v>551.58000000000004</v>
      </c>
      <c r="BP828" s="3">
        <v>45656</v>
      </c>
      <c r="BQ828">
        <v>246.63</v>
      </c>
      <c r="BR828" s="3">
        <v>45401</v>
      </c>
      <c r="BS828" t="s">
        <v>1005</v>
      </c>
    </row>
    <row r="829" spans="1:71" x14ac:dyDescent="0.25">
      <c r="A829" t="s">
        <v>1006</v>
      </c>
      <c r="B829" t="s">
        <v>103</v>
      </c>
      <c r="C829" s="2">
        <f>HYPERLINK("https://szao.dolgi.msk.ru/account/3470306075/", 3470306075)</f>
        <v>3470306075</v>
      </c>
      <c r="D829" t="s">
        <v>29</v>
      </c>
      <c r="E829">
        <v>92354.77</v>
      </c>
      <c r="AX829">
        <v>50.09</v>
      </c>
      <c r="AY829">
        <v>43.52</v>
      </c>
      <c r="AZ829" t="s">
        <v>56</v>
      </c>
      <c r="BA829" t="s">
        <v>36</v>
      </c>
      <c r="BB829">
        <v>92354.77</v>
      </c>
      <c r="BC829">
        <v>92354.77</v>
      </c>
      <c r="BD829">
        <v>92354.77</v>
      </c>
      <c r="BE829">
        <v>92354.77</v>
      </c>
      <c r="BF829">
        <v>90232.49</v>
      </c>
      <c r="BG829">
        <v>22695.71</v>
      </c>
      <c r="BH829">
        <v>4743.7299999999996</v>
      </c>
      <c r="BI829">
        <v>8364</v>
      </c>
      <c r="BJ829">
        <v>2435.09</v>
      </c>
      <c r="BK829">
        <v>6101.22</v>
      </c>
      <c r="BL829">
        <v>42863.11</v>
      </c>
      <c r="BM829">
        <v>5151.91</v>
      </c>
      <c r="BP829" s="3">
        <v>45596</v>
      </c>
      <c r="BQ829">
        <v>0</v>
      </c>
      <c r="BR829" s="3">
        <v>45672</v>
      </c>
      <c r="BS829" t="s">
        <v>1007</v>
      </c>
    </row>
    <row r="830" spans="1:71" x14ac:dyDescent="0.25">
      <c r="A830" t="s">
        <v>1008</v>
      </c>
      <c r="B830" t="s">
        <v>223</v>
      </c>
      <c r="C830" s="2">
        <f>HYPERLINK("https://szao.dolgi.msk.ru/account/3470227086/", 3470227086)</f>
        <v>3470227086</v>
      </c>
      <c r="D830" t="s">
        <v>29</v>
      </c>
      <c r="E830">
        <v>233703</v>
      </c>
      <c r="AX830">
        <v>35.21</v>
      </c>
      <c r="AY830">
        <v>34.07</v>
      </c>
      <c r="AZ830" t="s">
        <v>40</v>
      </c>
      <c r="BA830" t="s">
        <v>36</v>
      </c>
      <c r="BB830">
        <v>233703</v>
      </c>
      <c r="BC830">
        <v>233703</v>
      </c>
      <c r="BD830">
        <v>233703</v>
      </c>
      <c r="BE830">
        <v>233703</v>
      </c>
      <c r="BF830">
        <v>226842.81</v>
      </c>
      <c r="BG830">
        <v>31082.18</v>
      </c>
      <c r="BH830">
        <v>31065.43</v>
      </c>
      <c r="BI830">
        <v>67477.81</v>
      </c>
      <c r="BJ830">
        <v>22003.59</v>
      </c>
      <c r="BK830">
        <v>35195.620000000003</v>
      </c>
      <c r="BL830">
        <v>39556.910000000003</v>
      </c>
      <c r="BM830">
        <v>7321.46</v>
      </c>
      <c r="BN830">
        <v>4857.2</v>
      </c>
      <c r="BP830" s="3">
        <v>45682</v>
      </c>
      <c r="BQ830">
        <v>4857.2</v>
      </c>
      <c r="BR830" s="3">
        <v>45636</v>
      </c>
      <c r="BS830" t="s">
        <v>1009</v>
      </c>
    </row>
    <row r="831" spans="1:71" x14ac:dyDescent="0.25">
      <c r="A831" t="s">
        <v>1008</v>
      </c>
      <c r="B831" t="s">
        <v>103</v>
      </c>
      <c r="C831" s="2">
        <f>HYPERLINK("https://szao.dolgi.msk.ru/account/3470227094/", 3470227094)</f>
        <v>3470227094</v>
      </c>
      <c r="D831" t="s">
        <v>29</v>
      </c>
      <c r="E831">
        <v>92109.28</v>
      </c>
      <c r="AX831">
        <v>28.99</v>
      </c>
      <c r="AY831">
        <v>28.94</v>
      </c>
      <c r="AZ831" t="s">
        <v>56</v>
      </c>
      <c r="BA831" t="s">
        <v>36</v>
      </c>
      <c r="BB831">
        <v>92109.28</v>
      </c>
      <c r="BC831">
        <v>92109.28</v>
      </c>
      <c r="BD831">
        <v>92109.28</v>
      </c>
      <c r="BE831">
        <v>92109.28</v>
      </c>
      <c r="BF831">
        <v>88926.17</v>
      </c>
      <c r="BG831">
        <v>32483.34</v>
      </c>
      <c r="BH831">
        <v>0</v>
      </c>
      <c r="BI831">
        <v>0</v>
      </c>
      <c r="BJ831">
        <v>0</v>
      </c>
      <c r="BK831">
        <v>0</v>
      </c>
      <c r="BL831">
        <v>49795.519999999997</v>
      </c>
      <c r="BM831">
        <v>9830.42</v>
      </c>
      <c r="BP831" s="3">
        <v>44679</v>
      </c>
      <c r="BQ831">
        <v>2629.38</v>
      </c>
    </row>
    <row r="832" spans="1:71" x14ac:dyDescent="0.25">
      <c r="A832" t="s">
        <v>1008</v>
      </c>
      <c r="B832" t="s">
        <v>602</v>
      </c>
      <c r="C832" s="2">
        <f>HYPERLINK("https://szao.dolgi.msk.ru/account/3470484963/", 3470484963)</f>
        <v>3470484963</v>
      </c>
      <c r="D832" t="s">
        <v>29</v>
      </c>
      <c r="E832">
        <v>39511.72</v>
      </c>
      <c r="AX832">
        <v>4.08</v>
      </c>
      <c r="AY832">
        <v>4.05</v>
      </c>
      <c r="AZ832" t="s">
        <v>40</v>
      </c>
      <c r="BA832" t="s">
        <v>49</v>
      </c>
      <c r="BB832">
        <v>39511.72</v>
      </c>
      <c r="BC832">
        <v>39511.72</v>
      </c>
      <c r="BD832">
        <v>39511.72</v>
      </c>
      <c r="BE832">
        <v>39511.72</v>
      </c>
      <c r="BF832">
        <v>29760.95</v>
      </c>
      <c r="BG832">
        <v>5137.3500000000004</v>
      </c>
      <c r="BH832">
        <v>2691.7</v>
      </c>
      <c r="BI832">
        <v>14254.49</v>
      </c>
      <c r="BJ832">
        <v>3877.47</v>
      </c>
      <c r="BK832">
        <v>5098.54</v>
      </c>
      <c r="BL832">
        <v>7005.35</v>
      </c>
      <c r="BM832">
        <v>1446.82</v>
      </c>
      <c r="BO832">
        <v>9750.77</v>
      </c>
      <c r="BP832" s="3">
        <v>45686</v>
      </c>
      <c r="BQ832">
        <v>9750.77</v>
      </c>
      <c r="BR832" s="3">
        <v>45475</v>
      </c>
      <c r="BS832" t="s">
        <v>1010</v>
      </c>
    </row>
    <row r="833" spans="1:71" x14ac:dyDescent="0.25">
      <c r="A833" t="s">
        <v>1008</v>
      </c>
      <c r="B833" t="s">
        <v>579</v>
      </c>
      <c r="C833" s="2">
        <f>HYPERLINK("https://szao.dolgi.msk.ru/account/3470227211/", 3470227211)</f>
        <v>3470227211</v>
      </c>
      <c r="D833" t="s">
        <v>29</v>
      </c>
      <c r="E833">
        <v>126384.79</v>
      </c>
      <c r="AX833">
        <v>16.82</v>
      </c>
      <c r="AY833">
        <v>24.46</v>
      </c>
      <c r="AZ833" t="s">
        <v>40</v>
      </c>
      <c r="BA833" t="s">
        <v>36</v>
      </c>
      <c r="BB833">
        <v>126384.79</v>
      </c>
      <c r="BC833">
        <v>126384.79</v>
      </c>
      <c r="BD833">
        <v>132132.31</v>
      </c>
      <c r="BE833">
        <v>132132.31</v>
      </c>
      <c r="BF833">
        <v>126259.23</v>
      </c>
      <c r="BG833">
        <v>19114.669999999998</v>
      </c>
      <c r="BH833">
        <v>15289.15</v>
      </c>
      <c r="BI833">
        <v>56622.78</v>
      </c>
      <c r="BJ833">
        <v>15026</v>
      </c>
      <c r="BK833">
        <v>-5747.52</v>
      </c>
      <c r="BL833">
        <v>20039.54</v>
      </c>
      <c r="BM833">
        <v>6040.17</v>
      </c>
      <c r="BN833">
        <v>10160.700000000001</v>
      </c>
      <c r="BO833">
        <v>5042.3500000000004</v>
      </c>
      <c r="BP833" s="3">
        <v>45698</v>
      </c>
      <c r="BQ833">
        <v>5042.3500000000004</v>
      </c>
      <c r="BR833" s="3">
        <v>45628</v>
      </c>
      <c r="BS833" t="s">
        <v>1011</v>
      </c>
    </row>
    <row r="834" spans="1:71" x14ac:dyDescent="0.25">
      <c r="A834" t="s">
        <v>1008</v>
      </c>
      <c r="B834" t="s">
        <v>227</v>
      </c>
      <c r="C834" s="2">
        <f>HYPERLINK("https://szao.dolgi.msk.ru/account/3470227254/", 3470227254)</f>
        <v>3470227254</v>
      </c>
      <c r="D834" t="s">
        <v>29</v>
      </c>
      <c r="E834">
        <v>45042.8</v>
      </c>
      <c r="AX834">
        <v>17.420000000000002</v>
      </c>
      <c r="AY834">
        <v>14.01</v>
      </c>
      <c r="AZ834" t="s">
        <v>40</v>
      </c>
      <c r="BA834" t="s">
        <v>36</v>
      </c>
      <c r="BB834">
        <v>45042.8</v>
      </c>
      <c r="BC834">
        <v>45042.8</v>
      </c>
      <c r="BD834">
        <v>99827.39</v>
      </c>
      <c r="BE834">
        <v>99827.39</v>
      </c>
      <c r="BF834">
        <v>42351.13</v>
      </c>
      <c r="BG834">
        <v>-25809.97</v>
      </c>
      <c r="BH834">
        <v>17862.34</v>
      </c>
      <c r="BI834">
        <v>46185.16</v>
      </c>
      <c r="BJ834">
        <v>12255.23</v>
      </c>
      <c r="BK834">
        <v>23524.66</v>
      </c>
      <c r="BL834">
        <v>-20824.509999999998</v>
      </c>
      <c r="BM834">
        <v>-8150.11</v>
      </c>
      <c r="BP834" s="3">
        <v>45653</v>
      </c>
      <c r="BQ834">
        <v>62192.24</v>
      </c>
      <c r="BR834" s="3">
        <v>45251</v>
      </c>
      <c r="BS834" t="s">
        <v>1012</v>
      </c>
    </row>
    <row r="835" spans="1:71" x14ac:dyDescent="0.25">
      <c r="A835" t="s">
        <v>1008</v>
      </c>
      <c r="B835" t="s">
        <v>27</v>
      </c>
      <c r="C835" s="2">
        <f>HYPERLINK("https://szao.dolgi.msk.ru/account/3470227369/", 3470227369)</f>
        <v>3470227369</v>
      </c>
      <c r="D835" t="s">
        <v>29</v>
      </c>
      <c r="E835">
        <v>13172.63</v>
      </c>
      <c r="AX835">
        <v>3.02</v>
      </c>
      <c r="AY835">
        <v>2.88</v>
      </c>
      <c r="AZ835" t="s">
        <v>69</v>
      </c>
      <c r="BA835" t="s">
        <v>49</v>
      </c>
      <c r="BB835">
        <v>13172.63</v>
      </c>
      <c r="BC835">
        <v>13172.63</v>
      </c>
      <c r="BD835">
        <v>13172.63</v>
      </c>
      <c r="BE835">
        <v>13172.63</v>
      </c>
      <c r="BF835">
        <v>8593.51</v>
      </c>
      <c r="BG835">
        <v>4154.1099999999997</v>
      </c>
      <c r="BH835">
        <v>500.17</v>
      </c>
      <c r="BI835">
        <v>1002.8</v>
      </c>
      <c r="BJ835">
        <v>284.54000000000002</v>
      </c>
      <c r="BK835">
        <v>600.79999999999995</v>
      </c>
      <c r="BL835">
        <v>5526.16</v>
      </c>
      <c r="BM835">
        <v>1104.05</v>
      </c>
      <c r="BP835" s="3">
        <v>45519</v>
      </c>
      <c r="BQ835">
        <v>2149.9899999999998</v>
      </c>
    </row>
    <row r="836" spans="1:71" x14ac:dyDescent="0.25">
      <c r="A836" t="s">
        <v>1008</v>
      </c>
      <c r="B836" t="s">
        <v>410</v>
      </c>
      <c r="C836" s="2">
        <f>HYPERLINK("https://szao.dolgi.msk.ru/account/3470227537/", 3470227537)</f>
        <v>3470227537</v>
      </c>
      <c r="D836" t="s">
        <v>29</v>
      </c>
      <c r="E836">
        <v>77900.88</v>
      </c>
      <c r="AX836">
        <v>23.82</v>
      </c>
      <c r="AY836">
        <v>23.55</v>
      </c>
      <c r="AZ836" t="s">
        <v>56</v>
      </c>
      <c r="BA836" t="s">
        <v>36</v>
      </c>
      <c r="BB836">
        <v>77900.88</v>
      </c>
      <c r="BC836">
        <v>77900.88</v>
      </c>
      <c r="BD836">
        <v>77900.88</v>
      </c>
      <c r="BE836">
        <v>77900.88</v>
      </c>
      <c r="BF836">
        <v>74593.539999999994</v>
      </c>
      <c r="BG836">
        <v>27601.82</v>
      </c>
      <c r="BH836">
        <v>1400.36</v>
      </c>
      <c r="BI836">
        <v>1092.92</v>
      </c>
      <c r="BJ836">
        <v>288.51</v>
      </c>
      <c r="BK836">
        <v>1323.27</v>
      </c>
      <c r="BL836">
        <v>38101.68</v>
      </c>
      <c r="BM836">
        <v>8092.32</v>
      </c>
      <c r="BP836" s="3">
        <v>44887</v>
      </c>
      <c r="BQ836">
        <v>2081.9699999999998</v>
      </c>
      <c r="BR836" s="3">
        <v>45623</v>
      </c>
      <c r="BS836" t="s">
        <v>1013</v>
      </c>
    </row>
    <row r="837" spans="1:71" x14ac:dyDescent="0.25">
      <c r="A837" t="s">
        <v>1014</v>
      </c>
      <c r="B837" t="s">
        <v>311</v>
      </c>
      <c r="C837" s="2">
        <f>HYPERLINK("https://szao.dolgi.msk.ru/account/3470227756/", 3470227756)</f>
        <v>3470227756</v>
      </c>
      <c r="D837" t="s">
        <v>29</v>
      </c>
      <c r="E837">
        <v>20980.23</v>
      </c>
      <c r="AX837">
        <v>14.68</v>
      </c>
      <c r="AY837">
        <v>15.69</v>
      </c>
      <c r="AZ837" t="s">
        <v>30</v>
      </c>
      <c r="BA837" t="s">
        <v>36</v>
      </c>
      <c r="BB837">
        <v>20980.23</v>
      </c>
      <c r="BC837">
        <v>20980.23</v>
      </c>
      <c r="BD837">
        <v>20980.23</v>
      </c>
      <c r="BE837">
        <v>20980.23</v>
      </c>
      <c r="BF837">
        <v>19643.38</v>
      </c>
      <c r="BG837">
        <v>6572.56</v>
      </c>
      <c r="BH837">
        <v>723.77</v>
      </c>
      <c r="BI837">
        <v>1370.52</v>
      </c>
      <c r="BJ837">
        <v>367.14</v>
      </c>
      <c r="BK837">
        <v>861.11</v>
      </c>
      <c r="BL837">
        <v>9257.8700000000008</v>
      </c>
      <c r="BM837">
        <v>1827.26</v>
      </c>
      <c r="BP837" s="3">
        <v>45643</v>
      </c>
      <c r="BQ837">
        <v>2388.0700000000002</v>
      </c>
      <c r="BR837" s="3">
        <v>45672</v>
      </c>
      <c r="BS837" t="s">
        <v>1015</v>
      </c>
    </row>
    <row r="838" spans="1:71" x14ac:dyDescent="0.25">
      <c r="A838" t="s">
        <v>1014</v>
      </c>
      <c r="B838" t="s">
        <v>282</v>
      </c>
      <c r="C838" s="2">
        <f>HYPERLINK("https://szao.dolgi.msk.ru/account/3470228169/", 3470228169)</f>
        <v>3470228169</v>
      </c>
      <c r="D838" t="s">
        <v>29</v>
      </c>
      <c r="E838">
        <v>4885.8999999999996</v>
      </c>
      <c r="AX838">
        <v>2.17</v>
      </c>
      <c r="AY838">
        <v>1</v>
      </c>
      <c r="AZ838" t="s">
        <v>35</v>
      </c>
      <c r="BA838" t="s">
        <v>31</v>
      </c>
      <c r="BB838">
        <v>4885.8999999999996</v>
      </c>
      <c r="BC838">
        <v>4885.8999999999996</v>
      </c>
      <c r="BD838">
        <v>4885.8999999999996</v>
      </c>
      <c r="BE838">
        <v>4885.8999999999996</v>
      </c>
      <c r="BF838">
        <v>0</v>
      </c>
      <c r="BG838">
        <v>1409.67</v>
      </c>
      <c r="BH838">
        <v>358.8</v>
      </c>
      <c r="BI838">
        <v>637.02</v>
      </c>
      <c r="BJ838">
        <v>179.4</v>
      </c>
      <c r="BK838">
        <v>413.19</v>
      </c>
      <c r="BL838">
        <v>1584.12</v>
      </c>
      <c r="BM838">
        <v>303.7</v>
      </c>
      <c r="BP838" s="3">
        <v>45666</v>
      </c>
      <c r="BQ838">
        <v>4657.93</v>
      </c>
    </row>
    <row r="839" spans="1:71" x14ac:dyDescent="0.25">
      <c r="A839" t="s">
        <v>1016</v>
      </c>
      <c r="B839" t="s">
        <v>280</v>
      </c>
      <c r="C839" s="2">
        <f>HYPERLINK("https://szao.dolgi.msk.ru/account/3470228804/", 3470228804)</f>
        <v>3470228804</v>
      </c>
      <c r="D839" t="s">
        <v>29</v>
      </c>
      <c r="E839">
        <v>137.28</v>
      </c>
      <c r="AX839">
        <v>2.69</v>
      </c>
      <c r="AY839">
        <v>0.04</v>
      </c>
      <c r="AZ839" t="s">
        <v>35</v>
      </c>
      <c r="BA839" t="s">
        <v>31</v>
      </c>
      <c r="BB839">
        <v>137.28</v>
      </c>
      <c r="BC839">
        <v>137.28</v>
      </c>
      <c r="BD839">
        <v>3766.68</v>
      </c>
      <c r="BE839">
        <v>3766.68</v>
      </c>
      <c r="BF839">
        <v>-3465.63</v>
      </c>
      <c r="BG839">
        <v>992.56</v>
      </c>
      <c r="BH839">
        <v>317.69</v>
      </c>
      <c r="BI839">
        <v>-3203.09</v>
      </c>
      <c r="BJ839">
        <v>1302.19</v>
      </c>
      <c r="BK839">
        <v>-426.31</v>
      </c>
      <c r="BL839">
        <v>940.41</v>
      </c>
      <c r="BM839">
        <v>213.83</v>
      </c>
      <c r="BP839" s="3">
        <v>45666</v>
      </c>
      <c r="BQ839">
        <v>2248.23</v>
      </c>
      <c r="BR839" s="3">
        <v>45488</v>
      </c>
      <c r="BS839" t="s">
        <v>1017</v>
      </c>
    </row>
    <row r="840" spans="1:71" x14ac:dyDescent="0.25">
      <c r="A840" t="s">
        <v>1016</v>
      </c>
      <c r="B840" t="s">
        <v>27</v>
      </c>
      <c r="C840" s="2">
        <f>HYPERLINK("https://szao.dolgi.msk.ru/account/3470228812/", 3470228812)</f>
        <v>3470228812</v>
      </c>
      <c r="D840" t="s">
        <v>29</v>
      </c>
      <c r="E840">
        <v>7805.11</v>
      </c>
      <c r="AX840">
        <v>3</v>
      </c>
      <c r="AY840">
        <v>2.89</v>
      </c>
      <c r="AZ840" t="s">
        <v>40</v>
      </c>
      <c r="BA840" t="s">
        <v>49</v>
      </c>
      <c r="BB840">
        <v>7805.11</v>
      </c>
      <c r="BC840">
        <v>7805.11</v>
      </c>
      <c r="BD840">
        <v>7805.11</v>
      </c>
      <c r="BE840">
        <v>7805.11</v>
      </c>
      <c r="BF840">
        <v>5105.66</v>
      </c>
      <c r="BG840">
        <v>3222.26</v>
      </c>
      <c r="BH840">
        <v>34.53</v>
      </c>
      <c r="BI840">
        <v>192.73</v>
      </c>
      <c r="BJ840">
        <v>54.28</v>
      </c>
      <c r="BK840">
        <v>68.180000000000007</v>
      </c>
      <c r="BL840">
        <v>3343.74</v>
      </c>
      <c r="BM840">
        <v>889.39</v>
      </c>
      <c r="BP840" s="3">
        <v>45654</v>
      </c>
      <c r="BQ840">
        <v>9579.68</v>
      </c>
      <c r="BR840" s="3">
        <v>45525</v>
      </c>
      <c r="BS840" t="s">
        <v>1018</v>
      </c>
    </row>
    <row r="841" spans="1:71" x14ac:dyDescent="0.25">
      <c r="A841" t="s">
        <v>1016</v>
      </c>
      <c r="B841" t="s">
        <v>627</v>
      </c>
      <c r="C841" s="2">
        <f>HYPERLINK("https://szao.dolgi.msk.ru/account/3470228919/", 3470228919)</f>
        <v>3470228919</v>
      </c>
      <c r="D841" t="s">
        <v>29</v>
      </c>
      <c r="E841">
        <v>4346.7700000000004</v>
      </c>
      <c r="AX841">
        <v>2.0699999999999998</v>
      </c>
      <c r="AY841">
        <v>1</v>
      </c>
      <c r="AZ841" t="s">
        <v>35</v>
      </c>
      <c r="BA841" t="s">
        <v>31</v>
      </c>
      <c r="BB841">
        <v>4346.7700000000004</v>
      </c>
      <c r="BC841">
        <v>4346.7700000000004</v>
      </c>
      <c r="BD841">
        <v>4346.7700000000004</v>
      </c>
      <c r="BE841">
        <v>4346.7700000000004</v>
      </c>
      <c r="BF841">
        <v>0</v>
      </c>
      <c r="BG841">
        <v>1079.3900000000001</v>
      </c>
      <c r="BH841">
        <v>418.6</v>
      </c>
      <c r="BI841">
        <v>849.36</v>
      </c>
      <c r="BJ841">
        <v>239.2</v>
      </c>
      <c r="BK841">
        <v>505.01</v>
      </c>
      <c r="BL841">
        <v>1022.67</v>
      </c>
      <c r="BM841">
        <v>232.54</v>
      </c>
      <c r="BN841">
        <v>3773.21</v>
      </c>
      <c r="BP841" s="3">
        <v>45671</v>
      </c>
      <c r="BQ841">
        <v>3773.21</v>
      </c>
    </row>
    <row r="842" spans="1:71" x14ac:dyDescent="0.25">
      <c r="A842" t="s">
        <v>1016</v>
      </c>
      <c r="B842" t="s">
        <v>335</v>
      </c>
      <c r="C842" s="2">
        <f>HYPERLINK("https://szao.dolgi.msk.ru/account/3470228986/", 3470228986)</f>
        <v>3470228986</v>
      </c>
      <c r="D842" t="s">
        <v>29</v>
      </c>
      <c r="E842">
        <v>23718.32</v>
      </c>
      <c r="AX842">
        <v>7.92</v>
      </c>
      <c r="AY842">
        <v>10.59</v>
      </c>
      <c r="AZ842" t="s">
        <v>45</v>
      </c>
      <c r="BA842" t="s">
        <v>66</v>
      </c>
      <c r="BB842">
        <v>23718.32</v>
      </c>
      <c r="BC842">
        <v>23718.32</v>
      </c>
      <c r="BD842">
        <v>24581.360000000001</v>
      </c>
      <c r="BE842">
        <v>24581.360000000001</v>
      </c>
      <c r="BF842">
        <v>21479.040000000001</v>
      </c>
      <c r="BG842">
        <v>4985.62</v>
      </c>
      <c r="BH842">
        <v>-863.04</v>
      </c>
      <c r="BI842">
        <v>8797.5400000000009</v>
      </c>
      <c r="BJ842">
        <v>2401.9699999999998</v>
      </c>
      <c r="BK842">
        <v>1173.79</v>
      </c>
      <c r="BL842">
        <v>5884.38</v>
      </c>
      <c r="BM842">
        <v>1338.06</v>
      </c>
      <c r="BP842" s="3">
        <v>45643</v>
      </c>
      <c r="BQ842">
        <v>1993.84</v>
      </c>
    </row>
    <row r="843" spans="1:71" x14ac:dyDescent="0.25">
      <c r="A843" t="s">
        <v>1019</v>
      </c>
      <c r="B843" t="s">
        <v>627</v>
      </c>
      <c r="C843" s="2">
        <f>HYPERLINK("https://szao.dolgi.msk.ru/account/3470229639/", 3470229639)</f>
        <v>3470229639</v>
      </c>
      <c r="D843" t="s">
        <v>29</v>
      </c>
      <c r="E843">
        <v>73423.509999999995</v>
      </c>
      <c r="AX843">
        <v>9.5500000000000007</v>
      </c>
      <c r="AY843">
        <v>9.1999999999999993</v>
      </c>
      <c r="AZ843" t="s">
        <v>56</v>
      </c>
      <c r="BA843" t="s">
        <v>63</v>
      </c>
      <c r="BB843">
        <v>73423.509999999995</v>
      </c>
      <c r="BC843">
        <v>52981.15</v>
      </c>
      <c r="BD843">
        <v>73423.509999999995</v>
      </c>
      <c r="BE843">
        <v>52981.15</v>
      </c>
      <c r="BF843">
        <v>65443.07</v>
      </c>
      <c r="BG843">
        <v>10142.07</v>
      </c>
      <c r="BH843">
        <v>3486.35</v>
      </c>
      <c r="BI843">
        <v>26058.86</v>
      </c>
      <c r="BJ843">
        <v>7156.21</v>
      </c>
      <c r="BK843">
        <v>7684.24</v>
      </c>
      <c r="BL843">
        <v>16111.7</v>
      </c>
      <c r="BM843">
        <v>2784.08</v>
      </c>
      <c r="BP843" s="3">
        <v>45655</v>
      </c>
      <c r="BQ843">
        <v>560</v>
      </c>
      <c r="BR843" s="3">
        <v>45271</v>
      </c>
      <c r="BS843" t="s">
        <v>1020</v>
      </c>
    </row>
    <row r="844" spans="1:71" x14ac:dyDescent="0.25">
      <c r="A844" t="s">
        <v>1019</v>
      </c>
      <c r="B844" t="s">
        <v>410</v>
      </c>
      <c r="C844" s="2">
        <f>HYPERLINK("https://szao.dolgi.msk.ru/account/3470229727/", 3470229727)</f>
        <v>3470229727</v>
      </c>
      <c r="D844" t="s">
        <v>29</v>
      </c>
      <c r="E844">
        <v>81185.69</v>
      </c>
      <c r="AX844">
        <v>10.49</v>
      </c>
      <c r="AY844">
        <v>10.49</v>
      </c>
      <c r="AZ844" t="s">
        <v>45</v>
      </c>
      <c r="BA844" t="s">
        <v>63</v>
      </c>
      <c r="BB844">
        <v>81185.69</v>
      </c>
      <c r="BC844">
        <v>81185.69</v>
      </c>
      <c r="BD844">
        <v>81185.69</v>
      </c>
      <c r="BE844">
        <v>81185.69</v>
      </c>
      <c r="BF844">
        <v>73443.64</v>
      </c>
      <c r="BG844">
        <v>7958.7</v>
      </c>
      <c r="BH844">
        <v>10635.68</v>
      </c>
      <c r="BI844">
        <v>26514.880000000001</v>
      </c>
      <c r="BJ844">
        <v>7277.02</v>
      </c>
      <c r="BK844">
        <v>13879.13</v>
      </c>
      <c r="BL844">
        <v>12735.58</v>
      </c>
      <c r="BM844">
        <v>2184.6999999999998</v>
      </c>
      <c r="BP844" s="3">
        <v>45469</v>
      </c>
      <c r="BQ844">
        <v>13981.25</v>
      </c>
    </row>
    <row r="845" spans="1:71" x14ac:dyDescent="0.25">
      <c r="A845" t="s">
        <v>1019</v>
      </c>
      <c r="B845" t="s">
        <v>238</v>
      </c>
      <c r="C845" s="2">
        <f>HYPERLINK("https://szao.dolgi.msk.ru/account/3470229743/", 3470229743)</f>
        <v>3470229743</v>
      </c>
      <c r="D845" t="s">
        <v>29</v>
      </c>
      <c r="E845">
        <v>24029.85</v>
      </c>
      <c r="AX845">
        <v>11.79</v>
      </c>
      <c r="AY845">
        <v>11.73</v>
      </c>
      <c r="AZ845" t="s">
        <v>56</v>
      </c>
      <c r="BA845" t="s">
        <v>63</v>
      </c>
      <c r="BB845">
        <v>24029.85</v>
      </c>
      <c r="BC845">
        <v>24029.85</v>
      </c>
      <c r="BD845">
        <v>24029.85</v>
      </c>
      <c r="BE845">
        <v>24029.85</v>
      </c>
      <c r="BF845">
        <v>22106.94</v>
      </c>
      <c r="BG845">
        <v>10896.86</v>
      </c>
      <c r="BH845">
        <v>727.46</v>
      </c>
      <c r="BI845">
        <v>1107.52</v>
      </c>
      <c r="BJ845">
        <v>302.27</v>
      </c>
      <c r="BK845">
        <v>800.98</v>
      </c>
      <c r="BL845">
        <v>8696.58</v>
      </c>
      <c r="BM845">
        <v>1498.18</v>
      </c>
      <c r="BP845" s="3">
        <v>45301</v>
      </c>
      <c r="BQ845">
        <v>1652.32</v>
      </c>
      <c r="BR845" s="3">
        <v>45526</v>
      </c>
      <c r="BS845" t="s">
        <v>1021</v>
      </c>
    </row>
    <row r="846" spans="1:71" x14ac:dyDescent="0.25">
      <c r="A846" t="s">
        <v>1022</v>
      </c>
      <c r="B846" t="s">
        <v>136</v>
      </c>
      <c r="C846" s="2">
        <f>HYPERLINK("https://szao.dolgi.msk.ru/account/3470230509/", 3470230509)</f>
        <v>3470230509</v>
      </c>
      <c r="D846" t="s">
        <v>29</v>
      </c>
      <c r="E846">
        <v>43574.33</v>
      </c>
      <c r="AX846">
        <v>9.81</v>
      </c>
      <c r="AY846">
        <v>9.83</v>
      </c>
      <c r="AZ846" t="s">
        <v>69</v>
      </c>
      <c r="BA846" t="s">
        <v>63</v>
      </c>
      <c r="BB846">
        <v>43574.33</v>
      </c>
      <c r="BC846">
        <v>43574.33</v>
      </c>
      <c r="BD846">
        <v>43574.33</v>
      </c>
      <c r="BE846">
        <v>43574.33</v>
      </c>
      <c r="BF846">
        <v>39265.089999999997</v>
      </c>
      <c r="BG846">
        <v>10138.540000000001</v>
      </c>
      <c r="BH846">
        <v>2856.25</v>
      </c>
      <c r="BI846">
        <v>5812.41</v>
      </c>
      <c r="BJ846">
        <v>1565.92</v>
      </c>
      <c r="BK846">
        <v>3446.72</v>
      </c>
      <c r="BL846">
        <v>16689.29</v>
      </c>
      <c r="BM846">
        <v>3065.2</v>
      </c>
      <c r="BP846" s="3">
        <v>45548</v>
      </c>
      <c r="BQ846">
        <v>8283.34</v>
      </c>
      <c r="BR846" s="3">
        <v>45672</v>
      </c>
      <c r="BS846" t="s">
        <v>1023</v>
      </c>
    </row>
    <row r="847" spans="1:71" x14ac:dyDescent="0.25">
      <c r="A847" t="s">
        <v>1022</v>
      </c>
      <c r="B847" t="s">
        <v>127</v>
      </c>
      <c r="C847" s="2">
        <f>HYPERLINK("https://szao.dolgi.msk.ru/account/3470230533/", 3470230533)</f>
        <v>3470230533</v>
      </c>
      <c r="D847" t="s">
        <v>29</v>
      </c>
      <c r="E847">
        <v>13678.36</v>
      </c>
      <c r="AX847">
        <v>2.48</v>
      </c>
      <c r="AY847">
        <v>2.29</v>
      </c>
      <c r="AZ847" t="s">
        <v>69</v>
      </c>
      <c r="BA847" t="s">
        <v>31</v>
      </c>
      <c r="BB847">
        <v>13678.36</v>
      </c>
      <c r="BC847">
        <v>13678.36</v>
      </c>
      <c r="BD847">
        <v>13786.54</v>
      </c>
      <c r="BE847">
        <v>13786.54</v>
      </c>
      <c r="BF847">
        <v>7874.28</v>
      </c>
      <c r="BG847">
        <v>4955.32</v>
      </c>
      <c r="BH847">
        <v>-0.01</v>
      </c>
      <c r="BI847">
        <v>-72.22</v>
      </c>
      <c r="BJ847">
        <v>-20.34</v>
      </c>
      <c r="BK847">
        <v>-15.61</v>
      </c>
      <c r="BL847">
        <v>7563.6</v>
      </c>
      <c r="BM847">
        <v>1267.6199999999999</v>
      </c>
      <c r="BP847" s="3">
        <v>45594</v>
      </c>
      <c r="BQ847">
        <v>6649.96</v>
      </c>
      <c r="BR847" s="3">
        <v>44798</v>
      </c>
      <c r="BS847" t="s">
        <v>1024</v>
      </c>
    </row>
    <row r="848" spans="1:71" x14ac:dyDescent="0.25">
      <c r="A848" t="s">
        <v>1022</v>
      </c>
      <c r="B848" t="s">
        <v>147</v>
      </c>
      <c r="C848" s="2">
        <f>HYPERLINK("https://szao.dolgi.msk.ru/account/3470230541/", 3470230541)</f>
        <v>3470230541</v>
      </c>
      <c r="D848" t="s">
        <v>29</v>
      </c>
      <c r="E848">
        <v>451496.38</v>
      </c>
      <c r="AX848">
        <v>16.100000000000001</v>
      </c>
      <c r="AY848">
        <v>15.96</v>
      </c>
      <c r="AZ848" t="s">
        <v>56</v>
      </c>
      <c r="BA848" t="s">
        <v>36</v>
      </c>
      <c r="BB848">
        <v>451496.38</v>
      </c>
      <c r="BC848">
        <v>451496.38</v>
      </c>
      <c r="BD848">
        <v>451496.38</v>
      </c>
      <c r="BE848">
        <v>451496.38</v>
      </c>
      <c r="BF848">
        <v>423248.2</v>
      </c>
      <c r="BG848">
        <v>7920.01</v>
      </c>
      <c r="BH848">
        <v>71982.47</v>
      </c>
      <c r="BI848">
        <v>201673.67</v>
      </c>
      <c r="BJ848">
        <v>54085.73</v>
      </c>
      <c r="BK848">
        <v>102015.25</v>
      </c>
      <c r="BL848">
        <v>11672.07</v>
      </c>
      <c r="BM848">
        <v>2147.1799999999998</v>
      </c>
      <c r="BP848" s="3">
        <v>45653</v>
      </c>
      <c r="BQ848">
        <v>0.02</v>
      </c>
      <c r="BR848" s="3">
        <v>45496</v>
      </c>
      <c r="BS848" t="s">
        <v>1025</v>
      </c>
    </row>
    <row r="849" spans="1:71" x14ac:dyDescent="0.25">
      <c r="A849" t="s">
        <v>1022</v>
      </c>
      <c r="B849" t="s">
        <v>279</v>
      </c>
      <c r="C849" s="2">
        <f>HYPERLINK("https://szao.dolgi.msk.ru/account/3470567531/", 3470567531)</f>
        <v>3470567531</v>
      </c>
      <c r="D849" t="s">
        <v>29</v>
      </c>
      <c r="E849">
        <v>18569.61</v>
      </c>
      <c r="AX849">
        <v>3.78</v>
      </c>
      <c r="AY849">
        <v>3.77</v>
      </c>
      <c r="AZ849" t="s">
        <v>40</v>
      </c>
      <c r="BA849" t="s">
        <v>49</v>
      </c>
      <c r="BB849">
        <v>18569.61</v>
      </c>
      <c r="BC849">
        <v>18569.61</v>
      </c>
      <c r="BD849">
        <v>18569.61</v>
      </c>
      <c r="BE849">
        <v>18569.61</v>
      </c>
      <c r="BF849">
        <v>13730.09</v>
      </c>
      <c r="BG849">
        <v>3416.63</v>
      </c>
      <c r="BH849">
        <v>1658.84</v>
      </c>
      <c r="BI849">
        <v>4030.2</v>
      </c>
      <c r="BJ849">
        <v>1135</v>
      </c>
      <c r="BK849">
        <v>2144.92</v>
      </c>
      <c r="BL849">
        <v>5289.06</v>
      </c>
      <c r="BM849">
        <v>894.96</v>
      </c>
      <c r="BP849" s="3">
        <v>45642</v>
      </c>
      <c r="BQ849">
        <v>4682.3900000000003</v>
      </c>
    </row>
    <row r="850" spans="1:71" x14ac:dyDescent="0.25">
      <c r="A850" t="s">
        <v>1022</v>
      </c>
      <c r="B850" t="s">
        <v>95</v>
      </c>
      <c r="C850" s="2">
        <f>HYPERLINK("https://szao.dolgi.msk.ru/account/3470230138/", 3470230138)</f>
        <v>3470230138</v>
      </c>
      <c r="D850" t="s">
        <v>29</v>
      </c>
      <c r="E850">
        <v>33255.06</v>
      </c>
      <c r="AX850">
        <v>2.08</v>
      </c>
      <c r="AY850">
        <v>2.1</v>
      </c>
      <c r="AZ850" t="s">
        <v>40</v>
      </c>
      <c r="BA850" t="s">
        <v>31</v>
      </c>
      <c r="BB850">
        <v>33255.06</v>
      </c>
      <c r="BC850">
        <v>33255.06</v>
      </c>
      <c r="BD850">
        <v>33255.06</v>
      </c>
      <c r="BE850">
        <v>33255.06</v>
      </c>
      <c r="BF850">
        <v>33078.559999999998</v>
      </c>
      <c r="BG850">
        <v>2209.4699999999998</v>
      </c>
      <c r="BH850">
        <v>4900.16</v>
      </c>
      <c r="BI850">
        <v>11607.9</v>
      </c>
      <c r="BJ850">
        <v>3352.74</v>
      </c>
      <c r="BK850">
        <v>6280.1</v>
      </c>
      <c r="BL850">
        <v>4298.7700000000004</v>
      </c>
      <c r="BM850">
        <v>605.91999999999996</v>
      </c>
      <c r="BN850">
        <v>15519.59</v>
      </c>
      <c r="BP850" s="3">
        <v>45698</v>
      </c>
      <c r="BQ850">
        <v>15519.59</v>
      </c>
    </row>
    <row r="851" spans="1:71" x14ac:dyDescent="0.25">
      <c r="A851" t="s">
        <v>1022</v>
      </c>
      <c r="B851" t="s">
        <v>227</v>
      </c>
      <c r="C851" s="2">
        <f>HYPERLINK("https://szao.dolgi.msk.ru/account/3470230218/", 3470230218)</f>
        <v>3470230218</v>
      </c>
      <c r="D851" t="s">
        <v>29</v>
      </c>
      <c r="E851">
        <v>25237.46</v>
      </c>
      <c r="AX851">
        <v>2.23</v>
      </c>
      <c r="AY851">
        <v>2</v>
      </c>
      <c r="AZ851" t="s">
        <v>35</v>
      </c>
      <c r="BA851" t="s">
        <v>31</v>
      </c>
      <c r="BB851">
        <v>25237.46</v>
      </c>
      <c r="BC851">
        <v>25237.46</v>
      </c>
      <c r="BD851">
        <v>25237.46</v>
      </c>
      <c r="BE851">
        <v>25237.46</v>
      </c>
      <c r="BF851">
        <v>13324.84</v>
      </c>
      <c r="BG851">
        <v>7108.67</v>
      </c>
      <c r="BH851">
        <v>2330.9499999999998</v>
      </c>
      <c r="BI851">
        <v>6140.73</v>
      </c>
      <c r="BJ851">
        <v>1688.54</v>
      </c>
      <c r="BK851">
        <v>3110.56</v>
      </c>
      <c r="BL851">
        <v>2924.33</v>
      </c>
      <c r="BM851">
        <v>1933.68</v>
      </c>
      <c r="BP851" s="3">
        <v>45666</v>
      </c>
      <c r="BQ851">
        <v>4828.74</v>
      </c>
      <c r="BR851" s="3">
        <v>45509</v>
      </c>
      <c r="BS851" t="s">
        <v>1026</v>
      </c>
    </row>
    <row r="852" spans="1:71" x14ac:dyDescent="0.25">
      <c r="A852" t="s">
        <v>1022</v>
      </c>
      <c r="B852" t="s">
        <v>293</v>
      </c>
      <c r="C852" s="2">
        <f>HYPERLINK("https://szao.dolgi.msk.ru/account/3470230269/", 3470230269)</f>
        <v>3470230269</v>
      </c>
      <c r="D852" t="s">
        <v>29</v>
      </c>
      <c r="E852">
        <v>25083.33</v>
      </c>
      <c r="AX852">
        <v>9.49</v>
      </c>
      <c r="AY852">
        <v>6.66</v>
      </c>
      <c r="AZ852" t="s">
        <v>40</v>
      </c>
      <c r="BA852" t="s">
        <v>63</v>
      </c>
      <c r="BB852">
        <v>25083.33</v>
      </c>
      <c r="BC852">
        <v>24440.77</v>
      </c>
      <c r="BD852">
        <v>35858.339999999997</v>
      </c>
      <c r="BE852">
        <v>35215.78</v>
      </c>
      <c r="BF852">
        <v>21404.32</v>
      </c>
      <c r="BG852">
        <v>3610.4</v>
      </c>
      <c r="BH852">
        <v>3529.44</v>
      </c>
      <c r="BI852">
        <v>7827.85</v>
      </c>
      <c r="BJ852">
        <v>2075.7800000000002</v>
      </c>
      <c r="BK852">
        <v>-10775.01</v>
      </c>
      <c r="BL852">
        <v>15840.1</v>
      </c>
      <c r="BM852">
        <v>2974.77</v>
      </c>
      <c r="BP852" s="3">
        <v>45667</v>
      </c>
      <c r="BQ852">
        <v>0.34</v>
      </c>
      <c r="BR852" s="3">
        <v>45509</v>
      </c>
      <c r="BS852" t="s">
        <v>1027</v>
      </c>
    </row>
    <row r="853" spans="1:71" x14ac:dyDescent="0.25">
      <c r="A853" t="s">
        <v>1028</v>
      </c>
      <c r="B853" t="s">
        <v>28</v>
      </c>
      <c r="C853" s="2">
        <f>HYPERLINK("https://szao.dolgi.msk.ru/account/3470214664/", 3470214664)</f>
        <v>3470214664</v>
      </c>
      <c r="D853" t="s">
        <v>29</v>
      </c>
      <c r="E853">
        <v>15309.47</v>
      </c>
      <c r="AX853">
        <v>3.62</v>
      </c>
      <c r="AY853">
        <v>2.7</v>
      </c>
      <c r="AZ853" t="s">
        <v>488</v>
      </c>
      <c r="BA853" t="s">
        <v>49</v>
      </c>
      <c r="BB853">
        <v>15309.47</v>
      </c>
      <c r="BC853">
        <v>15309.47</v>
      </c>
      <c r="BD853">
        <v>15309.47</v>
      </c>
      <c r="BE853">
        <v>15309.47</v>
      </c>
      <c r="BF853">
        <v>9631.67</v>
      </c>
      <c r="BG853">
        <v>3378.59</v>
      </c>
      <c r="BH853">
        <v>2089.04</v>
      </c>
      <c r="BI853">
        <v>1361.49</v>
      </c>
      <c r="BJ853">
        <v>383.42</v>
      </c>
      <c r="BK853">
        <v>1898.18</v>
      </c>
      <c r="BL853">
        <v>5425.53</v>
      </c>
      <c r="BM853">
        <v>773.22</v>
      </c>
      <c r="BP853" s="3">
        <v>45635</v>
      </c>
      <c r="BQ853">
        <v>71793.34</v>
      </c>
      <c r="BR853" s="3">
        <v>45580</v>
      </c>
      <c r="BS853" t="s">
        <v>1029</v>
      </c>
    </row>
    <row r="854" spans="1:71" x14ac:dyDescent="0.25">
      <c r="A854" t="s">
        <v>1030</v>
      </c>
      <c r="B854" t="s">
        <v>105</v>
      </c>
      <c r="C854" s="2">
        <f>HYPERLINK("https://szao.dolgi.msk.ru/account/3470215544/", 3470215544)</f>
        <v>3470215544</v>
      </c>
      <c r="D854" t="s">
        <v>29</v>
      </c>
      <c r="E854">
        <v>21376.42</v>
      </c>
      <c r="AX854">
        <v>11.69</v>
      </c>
      <c r="AY854">
        <v>2.4700000000000002</v>
      </c>
      <c r="AZ854" t="s">
        <v>40</v>
      </c>
      <c r="BA854" t="s">
        <v>63</v>
      </c>
      <c r="BB854">
        <v>21376.42</v>
      </c>
      <c r="BC854">
        <v>21376.42</v>
      </c>
      <c r="BD854">
        <v>36934.43</v>
      </c>
      <c r="BE854">
        <v>36934.43</v>
      </c>
      <c r="BF854">
        <v>12757.26</v>
      </c>
      <c r="BG854">
        <v>-15558.01</v>
      </c>
      <c r="BH854">
        <v>5419.37</v>
      </c>
      <c r="BI854">
        <v>0</v>
      </c>
      <c r="BJ854">
        <v>0</v>
      </c>
      <c r="BK854">
        <v>1817.6</v>
      </c>
      <c r="BL854">
        <v>14632.55</v>
      </c>
      <c r="BM854">
        <v>15064.91</v>
      </c>
      <c r="BN854">
        <v>0</v>
      </c>
      <c r="BP854" s="3">
        <v>45677</v>
      </c>
      <c r="BQ854">
        <v>0</v>
      </c>
      <c r="BR854" s="3">
        <v>45173</v>
      </c>
      <c r="BS854" t="s">
        <v>61</v>
      </c>
    </row>
    <row r="855" spans="1:71" x14ac:dyDescent="0.25">
      <c r="A855" t="s">
        <v>1030</v>
      </c>
      <c r="B855" t="s">
        <v>344</v>
      </c>
      <c r="C855" s="2">
        <f>HYPERLINK("https://szao.dolgi.msk.ru/account/3470215843/", 3470215843)</f>
        <v>3470215843</v>
      </c>
      <c r="D855" t="s">
        <v>29</v>
      </c>
      <c r="E855">
        <v>23476.95</v>
      </c>
      <c r="AX855">
        <v>3.42</v>
      </c>
      <c r="AY855">
        <v>3.68</v>
      </c>
      <c r="AZ855" t="s">
        <v>56</v>
      </c>
      <c r="BA855" t="s">
        <v>49</v>
      </c>
      <c r="BB855">
        <v>23476.95</v>
      </c>
      <c r="BC855">
        <v>23476.95</v>
      </c>
      <c r="BD855">
        <v>23476.95</v>
      </c>
      <c r="BE855">
        <v>23476.95</v>
      </c>
      <c r="BF855">
        <v>17095.990000000002</v>
      </c>
      <c r="BG855">
        <v>6914.87</v>
      </c>
      <c r="BH855">
        <v>2499.86</v>
      </c>
      <c r="BI855">
        <v>0</v>
      </c>
      <c r="BJ855">
        <v>0</v>
      </c>
      <c r="BK855">
        <v>1919.2</v>
      </c>
      <c r="BL855">
        <v>10358.27</v>
      </c>
      <c r="BM855">
        <v>1784.75</v>
      </c>
      <c r="BP855" s="3">
        <v>45580</v>
      </c>
      <c r="BQ855">
        <v>2157.2600000000002</v>
      </c>
    </row>
    <row r="856" spans="1:71" x14ac:dyDescent="0.25">
      <c r="A856" t="s">
        <v>1030</v>
      </c>
      <c r="B856" t="s">
        <v>129</v>
      </c>
      <c r="C856" s="2">
        <f>HYPERLINK("https://szao.dolgi.msk.ru/account/3470215982/", 3470215982)</f>
        <v>3470215982</v>
      </c>
      <c r="D856" t="s">
        <v>29</v>
      </c>
      <c r="E856">
        <v>24997.55</v>
      </c>
      <c r="AX856">
        <v>2.73</v>
      </c>
      <c r="AY856">
        <v>2.72</v>
      </c>
      <c r="AZ856" t="s">
        <v>35</v>
      </c>
      <c r="BA856" t="s">
        <v>31</v>
      </c>
      <c r="BB856">
        <v>24997.55</v>
      </c>
      <c r="BC856">
        <v>24997.55</v>
      </c>
      <c r="BD856">
        <v>24997.55</v>
      </c>
      <c r="BE856">
        <v>24997.55</v>
      </c>
      <c r="BF856">
        <v>15839.4</v>
      </c>
      <c r="BG856">
        <v>5996.29</v>
      </c>
      <c r="BH856">
        <v>4807.28</v>
      </c>
      <c r="BI856">
        <v>0</v>
      </c>
      <c r="BJ856">
        <v>0</v>
      </c>
      <c r="BK856">
        <v>3742.82</v>
      </c>
      <c r="BL856">
        <v>8922.8799999999992</v>
      </c>
      <c r="BM856">
        <v>1528.28</v>
      </c>
      <c r="BP856" s="3">
        <v>45667</v>
      </c>
      <c r="BQ856">
        <v>8624.42</v>
      </c>
      <c r="BR856" s="3">
        <v>45516</v>
      </c>
      <c r="BS856" t="s">
        <v>1031</v>
      </c>
    </row>
    <row r="857" spans="1:71" x14ac:dyDescent="0.25">
      <c r="A857" t="s">
        <v>1032</v>
      </c>
      <c r="B857" t="s">
        <v>287</v>
      </c>
      <c r="C857" s="2">
        <f>HYPERLINK("https://szao.dolgi.msk.ru/account/3470216619/", 3470216619)</f>
        <v>3470216619</v>
      </c>
      <c r="D857" t="s">
        <v>29</v>
      </c>
      <c r="E857">
        <v>57987.55</v>
      </c>
      <c r="AX857">
        <v>2.97</v>
      </c>
      <c r="AY857">
        <v>2.93</v>
      </c>
      <c r="AZ857" t="s">
        <v>488</v>
      </c>
      <c r="BA857" t="s">
        <v>31</v>
      </c>
      <c r="BB857">
        <v>57987.55</v>
      </c>
      <c r="BC857">
        <v>57987.55</v>
      </c>
      <c r="BD857">
        <v>57987.55</v>
      </c>
      <c r="BE857">
        <v>57987.55</v>
      </c>
      <c r="BF857">
        <v>38583.35</v>
      </c>
      <c r="BG857">
        <v>10549.21</v>
      </c>
      <c r="BH857">
        <v>13063.47</v>
      </c>
      <c r="BI857">
        <v>12162.19</v>
      </c>
      <c r="BJ857">
        <v>3702.95</v>
      </c>
      <c r="BK857">
        <v>12316.5</v>
      </c>
      <c r="BL857">
        <v>5287.65</v>
      </c>
      <c r="BM857">
        <v>905.58</v>
      </c>
      <c r="BP857" s="3">
        <v>45621</v>
      </c>
      <c r="BQ857">
        <v>152295.60999999999</v>
      </c>
      <c r="BR857" s="3">
        <v>45075</v>
      </c>
      <c r="BS857" t="s">
        <v>1033</v>
      </c>
    </row>
    <row r="858" spans="1:71" x14ac:dyDescent="0.25">
      <c r="A858" t="s">
        <v>1034</v>
      </c>
      <c r="B858" t="s">
        <v>147</v>
      </c>
      <c r="C858" s="2">
        <f>HYPERLINK("https://szao.dolgi.msk.ru/account/3470218681/", 3470218681)</f>
        <v>3470218681</v>
      </c>
      <c r="D858" t="s">
        <v>29</v>
      </c>
      <c r="E858">
        <v>34884.6</v>
      </c>
      <c r="AX858">
        <v>3.59</v>
      </c>
      <c r="AY858">
        <v>3.77</v>
      </c>
      <c r="AZ858" t="s">
        <v>40</v>
      </c>
      <c r="BA858" t="s">
        <v>49</v>
      </c>
      <c r="BB858">
        <v>34884.6</v>
      </c>
      <c r="BC858">
        <v>34884.6</v>
      </c>
      <c r="BD858">
        <v>34884.6</v>
      </c>
      <c r="BE858">
        <v>34884.6</v>
      </c>
      <c r="BF858">
        <v>25633.71</v>
      </c>
      <c r="BG858">
        <v>4731.6499999999996</v>
      </c>
      <c r="BH858">
        <v>4209.47</v>
      </c>
      <c r="BI858">
        <v>10235.15</v>
      </c>
      <c r="BJ858">
        <v>2882.25</v>
      </c>
      <c r="BK858">
        <v>5447.07</v>
      </c>
      <c r="BL858">
        <v>6168.63</v>
      </c>
      <c r="BM858">
        <v>1210.3800000000001</v>
      </c>
      <c r="BP858" s="3">
        <v>45622</v>
      </c>
      <c r="BQ858">
        <v>12858.1</v>
      </c>
    </row>
    <row r="859" spans="1:71" x14ac:dyDescent="0.25">
      <c r="A859" t="s">
        <v>1034</v>
      </c>
      <c r="B859" t="s">
        <v>385</v>
      </c>
      <c r="C859" s="2">
        <f>HYPERLINK("https://szao.dolgi.msk.ru/account/3470217638/", 3470217638)</f>
        <v>3470217638</v>
      </c>
      <c r="D859" t="s">
        <v>29</v>
      </c>
      <c r="E859">
        <v>12286.74</v>
      </c>
      <c r="AX859">
        <v>2.5499999999999998</v>
      </c>
      <c r="AY859">
        <v>2.4300000000000002</v>
      </c>
      <c r="AZ859" t="s">
        <v>30</v>
      </c>
      <c r="BA859" t="s">
        <v>31</v>
      </c>
      <c r="BB859">
        <v>12286.74</v>
      </c>
      <c r="BC859">
        <v>12286.74</v>
      </c>
      <c r="BD859">
        <v>12286.74</v>
      </c>
      <c r="BE859">
        <v>12286.74</v>
      </c>
      <c r="BF859">
        <v>7240.7</v>
      </c>
      <c r="BG859">
        <v>4722.93</v>
      </c>
      <c r="BH859">
        <v>119.6</v>
      </c>
      <c r="BI859">
        <v>424.68</v>
      </c>
      <c r="BJ859">
        <v>119.6</v>
      </c>
      <c r="BK859">
        <v>183.64</v>
      </c>
      <c r="BL859">
        <v>5547.62</v>
      </c>
      <c r="BM859">
        <v>1168.67</v>
      </c>
      <c r="BN859">
        <v>10081.32</v>
      </c>
      <c r="BP859" s="3">
        <v>45688</v>
      </c>
      <c r="BQ859">
        <v>10081.32</v>
      </c>
      <c r="BR859" s="3">
        <v>45481</v>
      </c>
      <c r="BS859" t="s">
        <v>1035</v>
      </c>
    </row>
    <row r="860" spans="1:71" x14ac:dyDescent="0.25">
      <c r="A860" t="s">
        <v>1034</v>
      </c>
      <c r="B860" t="s">
        <v>502</v>
      </c>
      <c r="C860" s="2">
        <f>HYPERLINK("https://szao.dolgi.msk.ru/account/3470217734/", 3470217734)</f>
        <v>3470217734</v>
      </c>
      <c r="D860" t="s">
        <v>29</v>
      </c>
      <c r="E860">
        <v>17883.3</v>
      </c>
      <c r="AX860">
        <v>3.43</v>
      </c>
      <c r="AY860">
        <v>3.73</v>
      </c>
      <c r="AZ860" t="s">
        <v>30</v>
      </c>
      <c r="BA860" t="s">
        <v>49</v>
      </c>
      <c r="BB860">
        <v>17883.3</v>
      </c>
      <c r="BC860">
        <v>17883.3</v>
      </c>
      <c r="BD860">
        <v>18572.25</v>
      </c>
      <c r="BE860">
        <v>18572.25</v>
      </c>
      <c r="BF860">
        <v>13093.21</v>
      </c>
      <c r="BG860">
        <v>4654.2299999999996</v>
      </c>
      <c r="BH860">
        <v>3767.4</v>
      </c>
      <c r="BI860">
        <v>-544.65</v>
      </c>
      <c r="BJ860">
        <v>-144.30000000000001</v>
      </c>
      <c r="BK860">
        <v>2892.33</v>
      </c>
      <c r="BL860">
        <v>6067.71</v>
      </c>
      <c r="BM860">
        <v>1190.58</v>
      </c>
      <c r="BP860" s="3">
        <v>45608</v>
      </c>
      <c r="BQ860">
        <v>7756.69</v>
      </c>
    </row>
    <row r="861" spans="1:71" x14ac:dyDescent="0.25">
      <c r="A861" t="s">
        <v>1034</v>
      </c>
      <c r="B861" t="s">
        <v>483</v>
      </c>
      <c r="C861" s="2">
        <f>HYPERLINK("https://szao.dolgi.msk.ru/account/3470218323/", 3470218323)</f>
        <v>3470218323</v>
      </c>
      <c r="D861" t="s">
        <v>29</v>
      </c>
      <c r="E861">
        <v>37868.410000000003</v>
      </c>
      <c r="AX861">
        <v>6.12</v>
      </c>
      <c r="AY861">
        <v>8.16</v>
      </c>
      <c r="AZ861" t="s">
        <v>40</v>
      </c>
      <c r="BA861" t="s">
        <v>66</v>
      </c>
      <c r="BB861">
        <v>37868.410000000003</v>
      </c>
      <c r="BC861">
        <v>37868.410000000003</v>
      </c>
      <c r="BD861">
        <v>37868.410000000003</v>
      </c>
      <c r="BE861">
        <v>37868.410000000003</v>
      </c>
      <c r="BF861">
        <v>33225.65</v>
      </c>
      <c r="BG861">
        <v>3716.5</v>
      </c>
      <c r="BH861">
        <v>6610.25</v>
      </c>
      <c r="BI861">
        <v>11475.15</v>
      </c>
      <c r="BJ861">
        <v>3049.1</v>
      </c>
      <c r="BK861">
        <v>7573.82</v>
      </c>
      <c r="BL861">
        <v>4496.37</v>
      </c>
      <c r="BM861">
        <v>947.22</v>
      </c>
      <c r="BN861">
        <v>4463.3</v>
      </c>
      <c r="BP861" s="3">
        <v>45680</v>
      </c>
      <c r="BQ861">
        <v>4463.3</v>
      </c>
    </row>
    <row r="862" spans="1:71" x14ac:dyDescent="0.25">
      <c r="A862" t="s">
        <v>1034</v>
      </c>
      <c r="B862" t="s">
        <v>203</v>
      </c>
      <c r="C862" s="2">
        <f>HYPERLINK("https://szao.dolgi.msk.ru/account/3470218374/", 3470218374)</f>
        <v>3470218374</v>
      </c>
      <c r="D862" t="s">
        <v>29</v>
      </c>
      <c r="E862">
        <v>24855.16</v>
      </c>
      <c r="AX862">
        <v>2.17</v>
      </c>
      <c r="AY862">
        <v>3.79</v>
      </c>
      <c r="AZ862" t="s">
        <v>35</v>
      </c>
      <c r="BA862" t="s">
        <v>31</v>
      </c>
      <c r="BB862">
        <v>24855.16</v>
      </c>
      <c r="BC862">
        <v>24855.16</v>
      </c>
      <c r="BD862">
        <v>24855.16</v>
      </c>
      <c r="BE862">
        <v>24855.16</v>
      </c>
      <c r="BF862">
        <v>23943.759999999998</v>
      </c>
      <c r="BG862">
        <v>5620.54</v>
      </c>
      <c r="BH862">
        <v>2540.3200000000002</v>
      </c>
      <c r="BI862">
        <v>4050.84</v>
      </c>
      <c r="BJ862">
        <v>1141.25</v>
      </c>
      <c r="BK862">
        <v>2945.7</v>
      </c>
      <c r="BL862">
        <v>7305.26</v>
      </c>
      <c r="BM862">
        <v>1251.25</v>
      </c>
      <c r="BN862">
        <v>5645.64</v>
      </c>
      <c r="BP862" s="3">
        <v>45692</v>
      </c>
      <c r="BQ862">
        <v>5645.64</v>
      </c>
      <c r="BR862" s="3">
        <v>45481</v>
      </c>
      <c r="BS862" t="s">
        <v>1036</v>
      </c>
    </row>
    <row r="863" spans="1:71" x14ac:dyDescent="0.25">
      <c r="A863" t="s">
        <v>1034</v>
      </c>
      <c r="B863" t="s">
        <v>191</v>
      </c>
      <c r="C863" s="2">
        <f>HYPERLINK("https://szao.dolgi.msk.ru/account/3470218518/", 3470218518)</f>
        <v>3470218518</v>
      </c>
      <c r="D863" t="s">
        <v>29</v>
      </c>
      <c r="E863">
        <v>161863.67000000001</v>
      </c>
      <c r="AX863">
        <v>18.18</v>
      </c>
      <c r="AY863">
        <v>15.99</v>
      </c>
      <c r="AZ863" t="s">
        <v>45</v>
      </c>
      <c r="BA863" t="s">
        <v>36</v>
      </c>
      <c r="BB863">
        <v>161863.67000000001</v>
      </c>
      <c r="BC863">
        <v>161863.67000000001</v>
      </c>
      <c r="BD863">
        <v>170102.54</v>
      </c>
      <c r="BE863">
        <v>170102.54</v>
      </c>
      <c r="BF863">
        <v>151741.88</v>
      </c>
      <c r="BG863">
        <v>42923.79</v>
      </c>
      <c r="BH863">
        <v>-8238.8700000000008</v>
      </c>
      <c r="BI863">
        <v>35942.19</v>
      </c>
      <c r="BJ863">
        <v>10907.42</v>
      </c>
      <c r="BK863">
        <v>11332.92</v>
      </c>
      <c r="BL863">
        <v>62814.03</v>
      </c>
      <c r="BM863">
        <v>6182.19</v>
      </c>
      <c r="BP863" s="3">
        <v>45504</v>
      </c>
      <c r="BQ863">
        <v>13022.75</v>
      </c>
      <c r="BR863" s="3">
        <v>45593</v>
      </c>
      <c r="BS863" t="s">
        <v>1037</v>
      </c>
    </row>
    <row r="864" spans="1:71" x14ac:dyDescent="0.25">
      <c r="A864" t="s">
        <v>1034</v>
      </c>
      <c r="B864" t="s">
        <v>636</v>
      </c>
      <c r="C864" s="2">
        <f>HYPERLINK("https://szao.dolgi.msk.ru/account/3470532312/", 3470532312)</f>
        <v>3470532312</v>
      </c>
      <c r="D864" t="s">
        <v>29</v>
      </c>
      <c r="E864">
        <v>23312.23</v>
      </c>
      <c r="AX864">
        <v>4.38</v>
      </c>
      <c r="AY864">
        <v>4.33</v>
      </c>
      <c r="AZ864" t="s">
        <v>69</v>
      </c>
      <c r="BA864" t="s">
        <v>49</v>
      </c>
      <c r="BB864">
        <v>23312.23</v>
      </c>
      <c r="BC864">
        <v>23312.23</v>
      </c>
      <c r="BD864">
        <v>23312.23</v>
      </c>
      <c r="BE864">
        <v>23312.23</v>
      </c>
      <c r="BF864">
        <v>17925.96</v>
      </c>
      <c r="BG864">
        <v>2939.63</v>
      </c>
      <c r="BH864">
        <v>4561.84</v>
      </c>
      <c r="BI864">
        <v>5037.75</v>
      </c>
      <c r="BJ864">
        <v>1418.75</v>
      </c>
      <c r="BK864">
        <v>4591.46</v>
      </c>
      <c r="BL864">
        <v>3981.55</v>
      </c>
      <c r="BM864">
        <v>781.25</v>
      </c>
      <c r="BP864" s="3">
        <v>45568</v>
      </c>
      <c r="BQ864">
        <v>3748.39</v>
      </c>
    </row>
    <row r="865" spans="1:71" x14ac:dyDescent="0.25">
      <c r="A865" t="s">
        <v>1034</v>
      </c>
      <c r="B865" t="s">
        <v>476</v>
      </c>
      <c r="C865" s="2">
        <f>HYPERLINK("https://szao.dolgi.msk.ru/account/3470218737/", 3470218737)</f>
        <v>3470218737</v>
      </c>
      <c r="D865" t="s">
        <v>29</v>
      </c>
      <c r="E865">
        <v>21115.32</v>
      </c>
      <c r="AX865">
        <v>2.75</v>
      </c>
      <c r="AY865">
        <v>2.77</v>
      </c>
      <c r="AZ865" t="s">
        <v>40</v>
      </c>
      <c r="BA865" t="s">
        <v>31</v>
      </c>
      <c r="BB865">
        <v>21115.32</v>
      </c>
      <c r="BC865">
        <v>21115.32</v>
      </c>
      <c r="BD865">
        <v>21115.32</v>
      </c>
      <c r="BE865">
        <v>21115.32</v>
      </c>
      <c r="BF865">
        <v>13493.16</v>
      </c>
      <c r="BG865">
        <v>1894.45</v>
      </c>
      <c r="BH865">
        <v>2952.06</v>
      </c>
      <c r="BI865">
        <v>7172.1</v>
      </c>
      <c r="BJ865">
        <v>2019.81</v>
      </c>
      <c r="BK865">
        <v>3817.08</v>
      </c>
      <c r="BL865">
        <v>2725.13</v>
      </c>
      <c r="BM865">
        <v>534.69000000000005</v>
      </c>
      <c r="BO865">
        <v>7622.16</v>
      </c>
      <c r="BP865" s="3">
        <v>45678</v>
      </c>
      <c r="BQ865">
        <v>7622.16</v>
      </c>
    </row>
    <row r="866" spans="1:71" x14ac:dyDescent="0.25">
      <c r="A866" t="s">
        <v>1038</v>
      </c>
      <c r="B866" t="s">
        <v>34</v>
      </c>
      <c r="C866" s="2">
        <f>HYPERLINK("https://szao.dolgi.msk.ru/account/3470218972/", 3470218972)</f>
        <v>3470218972</v>
      </c>
      <c r="D866" t="s">
        <v>29</v>
      </c>
      <c r="E866">
        <v>112367.33</v>
      </c>
      <c r="AX866">
        <v>30.3</v>
      </c>
      <c r="AY866">
        <v>18.89</v>
      </c>
      <c r="AZ866" t="s">
        <v>40</v>
      </c>
      <c r="BA866" t="s">
        <v>36</v>
      </c>
      <c r="BB866">
        <v>112367.33</v>
      </c>
      <c r="BC866">
        <v>112367.33</v>
      </c>
      <c r="BD866">
        <v>112367.33</v>
      </c>
      <c r="BE866">
        <v>112367.33</v>
      </c>
      <c r="BF866">
        <v>106417.89</v>
      </c>
      <c r="BG866">
        <v>55145.06</v>
      </c>
      <c r="BH866">
        <v>0</v>
      </c>
      <c r="BI866">
        <v>0</v>
      </c>
      <c r="BJ866">
        <v>0</v>
      </c>
      <c r="BK866">
        <v>1071.68</v>
      </c>
      <c r="BL866">
        <v>42498.06</v>
      </c>
      <c r="BM866">
        <v>13652.53</v>
      </c>
      <c r="BO866">
        <v>5941.41</v>
      </c>
      <c r="BP866" s="3">
        <v>45685</v>
      </c>
      <c r="BQ866">
        <v>5941.41</v>
      </c>
      <c r="BR866" s="3">
        <v>45267</v>
      </c>
      <c r="BS866" t="s">
        <v>1039</v>
      </c>
    </row>
    <row r="867" spans="1:71" x14ac:dyDescent="0.25">
      <c r="A867" t="s">
        <v>1038</v>
      </c>
      <c r="B867" t="s">
        <v>311</v>
      </c>
      <c r="C867" s="2">
        <f>HYPERLINK("https://szao.dolgi.msk.ru/account/3470219019/", 3470219019)</f>
        <v>3470219019</v>
      </c>
      <c r="D867" t="s">
        <v>29</v>
      </c>
      <c r="E867">
        <v>14535.88</v>
      </c>
      <c r="AX867">
        <v>2.52</v>
      </c>
      <c r="AY867">
        <v>2.83</v>
      </c>
      <c r="AZ867" t="s">
        <v>40</v>
      </c>
      <c r="BA867" t="s">
        <v>31</v>
      </c>
      <c r="BB867">
        <v>14535.88</v>
      </c>
      <c r="BC867">
        <v>14440.74</v>
      </c>
      <c r="BD867">
        <v>14535.88</v>
      </c>
      <c r="BE867">
        <v>14440.74</v>
      </c>
      <c r="BF867">
        <v>9398.44</v>
      </c>
      <c r="BG867">
        <v>2868.65</v>
      </c>
      <c r="BH867">
        <v>4368.3900000000003</v>
      </c>
      <c r="BI867">
        <v>0</v>
      </c>
      <c r="BJ867">
        <v>0</v>
      </c>
      <c r="BK867">
        <v>3353.72</v>
      </c>
      <c r="BL867">
        <v>3370</v>
      </c>
      <c r="BM867">
        <v>575.12</v>
      </c>
      <c r="BP867" s="3">
        <v>45632</v>
      </c>
      <c r="BQ867">
        <v>3824</v>
      </c>
      <c r="BR867" s="3">
        <v>45488</v>
      </c>
      <c r="BS867" t="s">
        <v>1040</v>
      </c>
    </row>
    <row r="868" spans="1:71" x14ac:dyDescent="0.25">
      <c r="A868" t="s">
        <v>1038</v>
      </c>
      <c r="B868" t="s">
        <v>227</v>
      </c>
      <c r="C868" s="2">
        <f>HYPERLINK("https://szao.dolgi.msk.ru/account/3470219297/", 3470219297)</f>
        <v>3470219297</v>
      </c>
      <c r="D868" t="s">
        <v>29</v>
      </c>
      <c r="E868">
        <v>23339.81</v>
      </c>
      <c r="AX868">
        <v>3.92</v>
      </c>
      <c r="AY868">
        <v>3.75</v>
      </c>
      <c r="AZ868" t="s">
        <v>40</v>
      </c>
      <c r="BA868" t="s">
        <v>49</v>
      </c>
      <c r="BB868">
        <v>23339.81</v>
      </c>
      <c r="BC868">
        <v>23339.81</v>
      </c>
      <c r="BD868">
        <v>23339.81</v>
      </c>
      <c r="BE868">
        <v>23339.81</v>
      </c>
      <c r="BF868">
        <v>17255.04</v>
      </c>
      <c r="BG868">
        <v>8933.75</v>
      </c>
      <c r="BH868">
        <v>1521.39</v>
      </c>
      <c r="BI868">
        <v>0</v>
      </c>
      <c r="BJ868">
        <v>0</v>
      </c>
      <c r="BK868">
        <v>1193.96</v>
      </c>
      <c r="BL868">
        <v>9633.41</v>
      </c>
      <c r="BM868">
        <v>2057.3000000000002</v>
      </c>
      <c r="BN868">
        <v>5667.13</v>
      </c>
      <c r="BO868">
        <v>6220.98</v>
      </c>
      <c r="BP868" s="3">
        <v>45681</v>
      </c>
      <c r="BQ868">
        <v>11888.11</v>
      </c>
    </row>
    <row r="869" spans="1:71" x14ac:dyDescent="0.25">
      <c r="A869" t="s">
        <v>1041</v>
      </c>
      <c r="B869" t="s">
        <v>554</v>
      </c>
      <c r="C869" s="2">
        <f>HYPERLINK("https://szao.dolgi.msk.ru/account/3470219828/", 3470219828)</f>
        <v>3470219828</v>
      </c>
      <c r="D869" t="s">
        <v>29</v>
      </c>
      <c r="E869">
        <v>29816.77</v>
      </c>
      <c r="AX869">
        <v>7.28</v>
      </c>
      <c r="AY869">
        <v>7.97</v>
      </c>
      <c r="AZ869" t="s">
        <v>69</v>
      </c>
      <c r="BA869" t="s">
        <v>66</v>
      </c>
      <c r="BB869">
        <v>29816.77</v>
      </c>
      <c r="BC869">
        <v>29816.77</v>
      </c>
      <c r="BD869">
        <v>29816.77</v>
      </c>
      <c r="BE869">
        <v>29816.77</v>
      </c>
      <c r="BF869">
        <v>26058.69</v>
      </c>
      <c r="BG869">
        <v>6587.99</v>
      </c>
      <c r="BH869">
        <v>5957.21</v>
      </c>
      <c r="BI869">
        <v>0</v>
      </c>
      <c r="BJ869">
        <v>0</v>
      </c>
      <c r="BK869">
        <v>4636.54</v>
      </c>
      <c r="BL869">
        <v>10871.78</v>
      </c>
      <c r="BM869">
        <v>1763.25</v>
      </c>
      <c r="BP869" s="3">
        <v>45594</v>
      </c>
      <c r="BQ869">
        <v>5337.56</v>
      </c>
      <c r="BR869" s="3">
        <v>45530</v>
      </c>
      <c r="BS869" t="s">
        <v>1042</v>
      </c>
    </row>
    <row r="870" spans="1:71" x14ac:dyDescent="0.25">
      <c r="A870" t="s">
        <v>1043</v>
      </c>
      <c r="B870" t="s">
        <v>173</v>
      </c>
      <c r="C870" s="2">
        <f>HYPERLINK("https://szao.dolgi.msk.ru/account/3470220263/", 3470220263)</f>
        <v>3470220263</v>
      </c>
      <c r="D870" t="s">
        <v>29</v>
      </c>
      <c r="E870">
        <v>61241.21</v>
      </c>
      <c r="AX870">
        <v>15.95</v>
      </c>
      <c r="AY870">
        <v>11.43</v>
      </c>
      <c r="AZ870" t="s">
        <v>40</v>
      </c>
      <c r="BA870" t="s">
        <v>36</v>
      </c>
      <c r="BB870">
        <v>61241.21</v>
      </c>
      <c r="BC870">
        <v>61241.21</v>
      </c>
      <c r="BD870">
        <v>83531.39</v>
      </c>
      <c r="BE870">
        <v>83531.39</v>
      </c>
      <c r="BF870">
        <v>55964.639999999999</v>
      </c>
      <c r="BG870">
        <v>-81.5</v>
      </c>
      <c r="BH870">
        <v>81.2</v>
      </c>
      <c r="BI870">
        <v>22233.200000000001</v>
      </c>
      <c r="BJ870">
        <v>6163.66</v>
      </c>
      <c r="BK870">
        <v>-22208.68</v>
      </c>
      <c r="BL870">
        <v>50003.12</v>
      </c>
      <c r="BM870">
        <v>5050.21</v>
      </c>
      <c r="BN870">
        <v>1253.8</v>
      </c>
      <c r="BO870">
        <v>5185.91</v>
      </c>
      <c r="BP870" s="3">
        <v>45693</v>
      </c>
      <c r="BQ870">
        <v>81.5</v>
      </c>
      <c r="BR870" s="3">
        <v>45355</v>
      </c>
      <c r="BS870" t="s">
        <v>1044</v>
      </c>
    </row>
    <row r="871" spans="1:71" x14ac:dyDescent="0.25">
      <c r="A871" t="s">
        <v>1043</v>
      </c>
      <c r="B871" t="s">
        <v>287</v>
      </c>
      <c r="C871" s="2">
        <f>HYPERLINK("https://szao.dolgi.msk.ru/account/3470481287/", 3470481287)</f>
        <v>3470481287</v>
      </c>
      <c r="D871" t="s">
        <v>29</v>
      </c>
      <c r="E871">
        <v>8171.87</v>
      </c>
      <c r="AX871">
        <v>5.54</v>
      </c>
      <c r="AY871">
        <v>5.5</v>
      </c>
      <c r="AZ871" t="s">
        <v>45</v>
      </c>
      <c r="BA871" t="s">
        <v>49</v>
      </c>
      <c r="BB871">
        <v>8171.87</v>
      </c>
      <c r="BC871">
        <v>8171.87</v>
      </c>
      <c r="BD871">
        <v>8460.49</v>
      </c>
      <c r="BE871">
        <v>8460.49</v>
      </c>
      <c r="BF871">
        <v>6685.94</v>
      </c>
      <c r="BG871">
        <v>2435.14</v>
      </c>
      <c r="BH871">
        <v>-59.51</v>
      </c>
      <c r="BI871">
        <v>-130.34</v>
      </c>
      <c r="BJ871">
        <v>-33.07</v>
      </c>
      <c r="BK871">
        <v>-65.7</v>
      </c>
      <c r="BL871">
        <v>5426.84</v>
      </c>
      <c r="BM871">
        <v>598.51</v>
      </c>
      <c r="BP871" s="3">
        <v>45349</v>
      </c>
      <c r="BQ871">
        <v>12924.17</v>
      </c>
      <c r="BR871" s="3">
        <v>44510</v>
      </c>
      <c r="BS871" t="s">
        <v>1045</v>
      </c>
    </row>
    <row r="872" spans="1:71" x14ac:dyDescent="0.25">
      <c r="A872" t="s">
        <v>1043</v>
      </c>
      <c r="B872" t="s">
        <v>279</v>
      </c>
      <c r="C872" s="2">
        <f>HYPERLINK("https://szao.dolgi.msk.ru/account/3470306331/", 3470306331)</f>
        <v>3470306331</v>
      </c>
      <c r="D872" t="s">
        <v>29</v>
      </c>
      <c r="E872">
        <v>60270.82</v>
      </c>
      <c r="AX872">
        <v>20.88</v>
      </c>
      <c r="AY872">
        <v>12.15</v>
      </c>
      <c r="AZ872" t="s">
        <v>30</v>
      </c>
      <c r="BA872" t="s">
        <v>36</v>
      </c>
      <c r="BB872">
        <v>60270.82</v>
      </c>
      <c r="BC872">
        <v>60270.82</v>
      </c>
      <c r="BD872">
        <v>60270.82</v>
      </c>
      <c r="BE872">
        <v>60270.82</v>
      </c>
      <c r="BF872">
        <v>57393.04</v>
      </c>
      <c r="BG872">
        <v>0</v>
      </c>
      <c r="BH872">
        <v>668.63</v>
      </c>
      <c r="BI872">
        <v>9139.98</v>
      </c>
      <c r="BJ872">
        <v>3244.08</v>
      </c>
      <c r="BK872">
        <v>782.94</v>
      </c>
      <c r="BL872">
        <v>41672.019999999997</v>
      </c>
      <c r="BM872">
        <v>4763.17</v>
      </c>
      <c r="BN872">
        <v>2083.2600000000002</v>
      </c>
      <c r="BO872">
        <v>4137.6899999999996</v>
      </c>
      <c r="BP872" s="3">
        <v>45693</v>
      </c>
      <c r="BQ872">
        <v>2083.2600000000002</v>
      </c>
      <c r="BR872" s="3">
        <v>45572</v>
      </c>
      <c r="BS872" t="s">
        <v>1046</v>
      </c>
    </row>
    <row r="873" spans="1:71" x14ac:dyDescent="0.25">
      <c r="A873" t="s">
        <v>1047</v>
      </c>
      <c r="B873" t="s">
        <v>397</v>
      </c>
      <c r="C873" s="2">
        <f>HYPERLINK("https://szao.dolgi.msk.ru/account/3470307019/", 3470307019)</f>
        <v>3470307019</v>
      </c>
      <c r="D873" t="s">
        <v>29</v>
      </c>
      <c r="E873">
        <v>2781.02</v>
      </c>
      <c r="AX873">
        <v>2</v>
      </c>
      <c r="AY873">
        <v>1.88</v>
      </c>
      <c r="AZ873" t="s">
        <v>40</v>
      </c>
      <c r="BA873" t="s">
        <v>31</v>
      </c>
      <c r="BB873">
        <v>2781.02</v>
      </c>
      <c r="BC873">
        <v>2781.02</v>
      </c>
      <c r="BD873">
        <v>2781.02</v>
      </c>
      <c r="BE873">
        <v>2781.02</v>
      </c>
      <c r="BF873">
        <v>1304.54</v>
      </c>
      <c r="BG873">
        <v>1280.82</v>
      </c>
      <c r="BH873">
        <v>0</v>
      </c>
      <c r="BI873">
        <v>0</v>
      </c>
      <c r="BJ873">
        <v>0</v>
      </c>
      <c r="BK873">
        <v>0</v>
      </c>
      <c r="BL873">
        <v>1187.22</v>
      </c>
      <c r="BM873">
        <v>312.98</v>
      </c>
      <c r="BP873" s="3">
        <v>45653</v>
      </c>
      <c r="BQ873">
        <v>1304.54</v>
      </c>
    </row>
    <row r="874" spans="1:71" x14ac:dyDescent="0.25">
      <c r="A874" t="s">
        <v>1047</v>
      </c>
      <c r="B874" t="s">
        <v>247</v>
      </c>
      <c r="C874" s="2">
        <f>HYPERLINK("https://szao.dolgi.msk.ru/account/3470220925/", 3470220925)</f>
        <v>3470220925</v>
      </c>
      <c r="D874" t="s">
        <v>29</v>
      </c>
      <c r="E874">
        <v>9532.9</v>
      </c>
      <c r="AX874">
        <v>3.4</v>
      </c>
      <c r="AY874">
        <v>3.21</v>
      </c>
      <c r="AZ874" t="s">
        <v>30</v>
      </c>
      <c r="BA874" t="s">
        <v>49</v>
      </c>
      <c r="BB874">
        <v>9532.9</v>
      </c>
      <c r="BC874">
        <v>9532.9</v>
      </c>
      <c r="BD874">
        <v>9532.9</v>
      </c>
      <c r="BE874">
        <v>9532.9</v>
      </c>
      <c r="BF874">
        <v>6560.25</v>
      </c>
      <c r="BG874">
        <v>3394.85</v>
      </c>
      <c r="BH874">
        <v>568.19000000000005</v>
      </c>
      <c r="BI874">
        <v>361.04</v>
      </c>
      <c r="BJ874">
        <v>101.68</v>
      </c>
      <c r="BK874">
        <v>514.28</v>
      </c>
      <c r="BL874">
        <v>3634.67</v>
      </c>
      <c r="BM874">
        <v>958.19</v>
      </c>
      <c r="BN874">
        <v>8318.77</v>
      </c>
      <c r="BO874">
        <v>2972.65</v>
      </c>
      <c r="BP874" s="3">
        <v>45684</v>
      </c>
      <c r="BQ874">
        <v>8318.77</v>
      </c>
    </row>
    <row r="875" spans="1:71" x14ac:dyDescent="0.25">
      <c r="A875" t="s">
        <v>1047</v>
      </c>
      <c r="B875" t="s">
        <v>410</v>
      </c>
      <c r="C875" s="2">
        <f>HYPERLINK("https://szao.dolgi.msk.ru/account/3470221063/", 3470221063)</f>
        <v>3470221063</v>
      </c>
      <c r="D875" t="s">
        <v>29</v>
      </c>
      <c r="E875">
        <v>166608.10999999999</v>
      </c>
      <c r="AX875">
        <v>16.16</v>
      </c>
      <c r="AY875">
        <v>15.58</v>
      </c>
      <c r="AZ875" t="s">
        <v>40</v>
      </c>
      <c r="BA875" t="s">
        <v>36</v>
      </c>
      <c r="BB875">
        <v>166608.10999999999</v>
      </c>
      <c r="BC875">
        <v>166608.10999999999</v>
      </c>
      <c r="BD875">
        <v>166608.10999999999</v>
      </c>
      <c r="BE875">
        <v>166608.10999999999</v>
      </c>
      <c r="BF875">
        <v>155913.72</v>
      </c>
      <c r="BG875">
        <v>26495.64</v>
      </c>
      <c r="BH875">
        <v>10052.08</v>
      </c>
      <c r="BI875">
        <v>69121.820000000007</v>
      </c>
      <c r="BJ875">
        <v>20601.37</v>
      </c>
      <c r="BK875">
        <v>22868.59</v>
      </c>
      <c r="BL875">
        <v>13782.22</v>
      </c>
      <c r="BM875">
        <v>3686.39</v>
      </c>
      <c r="BN875">
        <v>41.44</v>
      </c>
      <c r="BP875" s="3">
        <v>45683</v>
      </c>
      <c r="BQ875">
        <v>41.44</v>
      </c>
      <c r="BR875" s="3">
        <v>45282</v>
      </c>
      <c r="BS875" t="s">
        <v>1048</v>
      </c>
    </row>
    <row r="876" spans="1:71" x14ac:dyDescent="0.25">
      <c r="A876" t="s">
        <v>1047</v>
      </c>
      <c r="B876" t="s">
        <v>124</v>
      </c>
      <c r="C876" s="2">
        <f>HYPERLINK("https://szao.dolgi.msk.ru/account/3470307211/", 3470307211)</f>
        <v>3470307211</v>
      </c>
      <c r="D876" t="s">
        <v>29</v>
      </c>
      <c r="E876">
        <v>28933.84</v>
      </c>
      <c r="AX876">
        <v>25.66</v>
      </c>
      <c r="AY876">
        <v>18.829999999999998</v>
      </c>
      <c r="AZ876" t="s">
        <v>69</v>
      </c>
      <c r="BA876" t="s">
        <v>36</v>
      </c>
      <c r="BB876">
        <v>28933.84</v>
      </c>
      <c r="BC876">
        <v>28933.84</v>
      </c>
      <c r="BD876">
        <v>28933.84</v>
      </c>
      <c r="BE876">
        <v>28933.84</v>
      </c>
      <c r="BF876">
        <v>27397.34</v>
      </c>
      <c r="BG876">
        <v>7209.79</v>
      </c>
      <c r="BH876">
        <v>3061.66</v>
      </c>
      <c r="BI876">
        <v>3410.01</v>
      </c>
      <c r="BJ876">
        <v>1860.67</v>
      </c>
      <c r="BK876">
        <v>3274.22</v>
      </c>
      <c r="BL876">
        <v>6789.95</v>
      </c>
      <c r="BM876">
        <v>3327.54</v>
      </c>
      <c r="BP876" s="3">
        <v>45596</v>
      </c>
      <c r="BQ876">
        <v>0</v>
      </c>
      <c r="BR876" s="3">
        <v>45509</v>
      </c>
      <c r="BS876" t="s">
        <v>1049</v>
      </c>
    </row>
    <row r="877" spans="1:71" x14ac:dyDescent="0.25">
      <c r="A877" t="s">
        <v>1047</v>
      </c>
      <c r="B877" t="s">
        <v>124</v>
      </c>
      <c r="C877" s="2">
        <f>HYPERLINK("https://szao.dolgi.msk.ru/account/3470470609/", 3470470609)</f>
        <v>3470470609</v>
      </c>
      <c r="D877" t="s">
        <v>29</v>
      </c>
      <c r="E877">
        <v>6887.93</v>
      </c>
      <c r="AX877">
        <v>3.45</v>
      </c>
      <c r="AY877">
        <v>3.28</v>
      </c>
      <c r="AZ877" t="s">
        <v>69</v>
      </c>
      <c r="BA877" t="s">
        <v>49</v>
      </c>
      <c r="BB877">
        <v>6887.93</v>
      </c>
      <c r="BC877">
        <v>6887.93</v>
      </c>
      <c r="BD877">
        <v>9148.42</v>
      </c>
      <c r="BE877">
        <v>9148.42</v>
      </c>
      <c r="BF877">
        <v>4788.97</v>
      </c>
      <c r="BG877">
        <v>2166.62</v>
      </c>
      <c r="BH877">
        <v>1886.52</v>
      </c>
      <c r="BI877">
        <v>-2260.4899999999998</v>
      </c>
      <c r="BJ877">
        <v>501.77</v>
      </c>
      <c r="BK877">
        <v>1833.51</v>
      </c>
      <c r="BL877">
        <v>2184.1999999999998</v>
      </c>
      <c r="BM877">
        <v>575.79999999999995</v>
      </c>
      <c r="BP877" s="3">
        <v>45534</v>
      </c>
      <c r="BQ877">
        <v>13382.42</v>
      </c>
      <c r="BR877" s="3">
        <v>45509</v>
      </c>
      <c r="BS877" t="s">
        <v>1050</v>
      </c>
    </row>
    <row r="878" spans="1:71" x14ac:dyDescent="0.25">
      <c r="A878" t="s">
        <v>1051</v>
      </c>
      <c r="B878" t="s">
        <v>165</v>
      </c>
      <c r="C878" s="2">
        <f>HYPERLINK("https://szao.dolgi.msk.ru/account/3470310744/", 3470310744)</f>
        <v>3470310744</v>
      </c>
      <c r="D878" t="s">
        <v>29</v>
      </c>
      <c r="E878">
        <v>26182.82</v>
      </c>
      <c r="AX878">
        <v>2.5</v>
      </c>
      <c r="AY878">
        <v>2.46</v>
      </c>
      <c r="AZ878" t="s">
        <v>40</v>
      </c>
      <c r="BA878" t="s">
        <v>31</v>
      </c>
      <c r="BB878">
        <v>26182.82</v>
      </c>
      <c r="BC878">
        <v>26182.82</v>
      </c>
      <c r="BD878">
        <v>26182.82</v>
      </c>
      <c r="BE878">
        <v>26182.82</v>
      </c>
      <c r="BF878">
        <v>15617.99</v>
      </c>
      <c r="BG878">
        <v>4186.9799999999996</v>
      </c>
      <c r="BH878">
        <v>8239.69</v>
      </c>
      <c r="BI878">
        <v>0</v>
      </c>
      <c r="BJ878">
        <v>0</v>
      </c>
      <c r="BK878">
        <v>6467.38</v>
      </c>
      <c r="BL878">
        <v>6111.32</v>
      </c>
      <c r="BM878">
        <v>1177.45</v>
      </c>
      <c r="BO878">
        <v>10650.61</v>
      </c>
      <c r="BP878" s="3">
        <v>45672</v>
      </c>
      <c r="BQ878">
        <v>10650.61</v>
      </c>
    </row>
    <row r="879" spans="1:71" x14ac:dyDescent="0.25">
      <c r="A879" t="s">
        <v>1051</v>
      </c>
      <c r="B879" t="s">
        <v>98</v>
      </c>
      <c r="C879" s="2">
        <f>HYPERLINK("https://szao.dolgi.msk.ru/account/3470224408/", 3470224408)</f>
        <v>3470224408</v>
      </c>
      <c r="D879" t="s">
        <v>29</v>
      </c>
      <c r="E879">
        <v>143884.70000000001</v>
      </c>
      <c r="AX879">
        <v>31.97</v>
      </c>
      <c r="AY879">
        <v>24.31</v>
      </c>
      <c r="AZ879" t="s">
        <v>45</v>
      </c>
      <c r="BA879" t="s">
        <v>36</v>
      </c>
      <c r="BB879">
        <v>143884.70000000001</v>
      </c>
      <c r="BC879">
        <v>143884.70000000001</v>
      </c>
      <c r="BD879">
        <v>143884.70000000001</v>
      </c>
      <c r="BE879">
        <v>143884.70000000001</v>
      </c>
      <c r="BF879">
        <v>138008.67000000001</v>
      </c>
      <c r="BG879">
        <v>34633.699999999997</v>
      </c>
      <c r="BH879">
        <v>37955.42</v>
      </c>
      <c r="BI879">
        <v>0</v>
      </c>
      <c r="BJ879">
        <v>0</v>
      </c>
      <c r="BK879">
        <v>29090.49</v>
      </c>
      <c r="BL879">
        <v>33744.75</v>
      </c>
      <c r="BM879">
        <v>8460.34</v>
      </c>
      <c r="BP879" s="3">
        <v>45341</v>
      </c>
      <c r="BQ879">
        <v>4932.07</v>
      </c>
      <c r="BR879" s="3">
        <v>45051</v>
      </c>
      <c r="BS879" t="s">
        <v>1052</v>
      </c>
    </row>
    <row r="880" spans="1:71" x14ac:dyDescent="0.25">
      <c r="A880" t="s">
        <v>1053</v>
      </c>
      <c r="B880" t="s">
        <v>364</v>
      </c>
      <c r="C880" s="2">
        <f>HYPERLINK("https://szao.dolgi.msk.ru/account/3470310664/", 3470310664)</f>
        <v>3470310664</v>
      </c>
      <c r="D880" t="s">
        <v>29</v>
      </c>
      <c r="E880">
        <v>7013.54</v>
      </c>
      <c r="AX880">
        <v>2.7</v>
      </c>
      <c r="AY880">
        <v>2.71</v>
      </c>
      <c r="AZ880" t="s">
        <v>69</v>
      </c>
      <c r="BA880" t="s">
        <v>31</v>
      </c>
      <c r="BB880">
        <v>7013.54</v>
      </c>
      <c r="BC880">
        <v>7013.54</v>
      </c>
      <c r="BD880">
        <v>7013.54</v>
      </c>
      <c r="BE880">
        <v>7013.54</v>
      </c>
      <c r="BF880">
        <v>4422.5</v>
      </c>
      <c r="BG880">
        <v>1994.52</v>
      </c>
      <c r="BH880">
        <v>684.88</v>
      </c>
      <c r="BI880">
        <v>0</v>
      </c>
      <c r="BJ880">
        <v>0</v>
      </c>
      <c r="BK880">
        <v>525.80999999999995</v>
      </c>
      <c r="BL880">
        <v>3300.75</v>
      </c>
      <c r="BM880">
        <v>507.58</v>
      </c>
      <c r="BP880" s="3">
        <v>45596</v>
      </c>
      <c r="BQ880">
        <v>472.95</v>
      </c>
      <c r="BR880" s="3">
        <v>44748</v>
      </c>
      <c r="BS880" t="s">
        <v>1054</v>
      </c>
    </row>
    <row r="881" spans="1:71" x14ac:dyDescent="0.25">
      <c r="A881" t="s">
        <v>1053</v>
      </c>
      <c r="B881" t="s">
        <v>481</v>
      </c>
      <c r="C881" s="2">
        <f>HYPERLINK("https://szao.dolgi.msk.ru/account/3470230795/", 3470230795)</f>
        <v>3470230795</v>
      </c>
      <c r="D881" t="s">
        <v>29</v>
      </c>
      <c r="E881">
        <v>43167.94</v>
      </c>
      <c r="AX881">
        <v>7.67</v>
      </c>
      <c r="AY881">
        <v>7.99</v>
      </c>
      <c r="AZ881" t="s">
        <v>69</v>
      </c>
      <c r="BA881" t="s">
        <v>66</v>
      </c>
      <c r="BB881">
        <v>43167.94</v>
      </c>
      <c r="BC881">
        <v>43167.94</v>
      </c>
      <c r="BD881">
        <v>43167.94</v>
      </c>
      <c r="BE881">
        <v>43167.94</v>
      </c>
      <c r="BF881">
        <v>39007.910000000003</v>
      </c>
      <c r="BG881">
        <v>11421.81</v>
      </c>
      <c r="BH881">
        <v>5431.77</v>
      </c>
      <c r="BI881">
        <v>0</v>
      </c>
      <c r="BJ881">
        <v>0</v>
      </c>
      <c r="BK881">
        <v>4235.3100000000004</v>
      </c>
      <c r="BL881">
        <v>18990.669999999998</v>
      </c>
      <c r="BM881">
        <v>3088.38</v>
      </c>
      <c r="BP881" s="3">
        <v>45594</v>
      </c>
      <c r="BQ881">
        <v>5702.67</v>
      </c>
    </row>
    <row r="882" spans="1:71" x14ac:dyDescent="0.25">
      <c r="A882" t="s">
        <v>1053</v>
      </c>
      <c r="B882" t="s">
        <v>223</v>
      </c>
      <c r="C882" s="2">
        <f>HYPERLINK("https://szao.dolgi.msk.ru/account/3470230832/", 3470230832)</f>
        <v>3470230832</v>
      </c>
      <c r="D882" t="s">
        <v>29</v>
      </c>
      <c r="E882">
        <v>17815.77</v>
      </c>
      <c r="AX882">
        <v>2.82</v>
      </c>
      <c r="AY882">
        <v>2.87</v>
      </c>
      <c r="AZ882" t="s">
        <v>40</v>
      </c>
      <c r="BA882" t="s">
        <v>31</v>
      </c>
      <c r="BB882">
        <v>17815.77</v>
      </c>
      <c r="BC882">
        <v>17815.77</v>
      </c>
      <c r="BD882">
        <v>17815.77</v>
      </c>
      <c r="BE882">
        <v>17815.77</v>
      </c>
      <c r="BF882">
        <v>11597.49</v>
      </c>
      <c r="BG882">
        <v>2705.55</v>
      </c>
      <c r="BH882">
        <v>5306.64</v>
      </c>
      <c r="BI882">
        <v>0</v>
      </c>
      <c r="BJ882">
        <v>0</v>
      </c>
      <c r="BK882">
        <v>4074.06</v>
      </c>
      <c r="BL882">
        <v>4965.87</v>
      </c>
      <c r="BM882">
        <v>763.65</v>
      </c>
      <c r="BO882">
        <v>6218.28</v>
      </c>
      <c r="BP882" s="3">
        <v>45679</v>
      </c>
      <c r="BQ882">
        <v>6218.28</v>
      </c>
    </row>
    <row r="883" spans="1:71" x14ac:dyDescent="0.25">
      <c r="A883" t="s">
        <v>1053</v>
      </c>
      <c r="B883" t="s">
        <v>397</v>
      </c>
      <c r="C883" s="2">
        <f>HYPERLINK("https://szao.dolgi.msk.ru/account/3470490482/", 3470490482)</f>
        <v>3470490482</v>
      </c>
      <c r="D883" t="s">
        <v>29</v>
      </c>
      <c r="E883">
        <v>92577.06</v>
      </c>
      <c r="AX883">
        <v>34.590000000000003</v>
      </c>
      <c r="AY883">
        <v>28.1</v>
      </c>
      <c r="AZ883" t="s">
        <v>40</v>
      </c>
      <c r="BA883" t="s">
        <v>36</v>
      </c>
      <c r="BB883">
        <v>92577.06</v>
      </c>
      <c r="BC883">
        <v>92577.06</v>
      </c>
      <c r="BD883">
        <v>92577.06</v>
      </c>
      <c r="BE883">
        <v>92577.06</v>
      </c>
      <c r="BF883">
        <v>89282.03</v>
      </c>
      <c r="BG883">
        <v>27514.63</v>
      </c>
      <c r="BH883">
        <v>7843.86</v>
      </c>
      <c r="BI883">
        <v>0</v>
      </c>
      <c r="BJ883">
        <v>0</v>
      </c>
      <c r="BK883">
        <v>4972.3599999999997</v>
      </c>
      <c r="BL883">
        <v>44845.78</v>
      </c>
      <c r="BM883">
        <v>7400.43</v>
      </c>
      <c r="BP883" s="3">
        <v>45643</v>
      </c>
      <c r="BQ883">
        <v>0</v>
      </c>
      <c r="BR883" s="3">
        <v>45546</v>
      </c>
      <c r="BS883" t="s">
        <v>1055</v>
      </c>
    </row>
    <row r="884" spans="1:71" x14ac:dyDescent="0.25">
      <c r="A884" t="s">
        <v>1053</v>
      </c>
      <c r="B884" t="s">
        <v>344</v>
      </c>
      <c r="C884" s="2">
        <f>HYPERLINK("https://szao.dolgi.msk.ru/account/3470231181/", 3470231181)</f>
        <v>3470231181</v>
      </c>
      <c r="D884" t="s">
        <v>29</v>
      </c>
      <c r="E884">
        <v>34862.660000000003</v>
      </c>
      <c r="AX884">
        <v>2.98</v>
      </c>
      <c r="AY884">
        <v>2.75</v>
      </c>
      <c r="AZ884" t="s">
        <v>40</v>
      </c>
      <c r="BA884" t="s">
        <v>31</v>
      </c>
      <c r="BB884">
        <v>34862.660000000003</v>
      </c>
      <c r="BC884">
        <v>34862.660000000003</v>
      </c>
      <c r="BD884">
        <v>34875.870000000003</v>
      </c>
      <c r="BE884">
        <v>34875.870000000003</v>
      </c>
      <c r="BF884">
        <v>22185.55</v>
      </c>
      <c r="BG884">
        <v>7495.52</v>
      </c>
      <c r="BH884">
        <v>6509.6</v>
      </c>
      <c r="BI884">
        <v>0</v>
      </c>
      <c r="BJ884">
        <v>-13.21</v>
      </c>
      <c r="BK884">
        <v>4997.59</v>
      </c>
      <c r="BL884">
        <v>13757.52</v>
      </c>
      <c r="BM884">
        <v>2115.64</v>
      </c>
      <c r="BO884">
        <v>12677.11</v>
      </c>
      <c r="BP884" s="3">
        <v>45687</v>
      </c>
      <c r="BQ884">
        <v>12677.11</v>
      </c>
    </row>
    <row r="885" spans="1:71" x14ac:dyDescent="0.25">
      <c r="A885" t="s">
        <v>1053</v>
      </c>
      <c r="B885" t="s">
        <v>335</v>
      </c>
      <c r="C885" s="2">
        <f>HYPERLINK("https://szao.dolgi.msk.ru/account/3470231253/", 3470231253)</f>
        <v>3470231253</v>
      </c>
      <c r="D885" t="s">
        <v>29</v>
      </c>
      <c r="E885">
        <v>148482.09</v>
      </c>
      <c r="AX885">
        <v>16.34</v>
      </c>
      <c r="AY885">
        <v>9.52</v>
      </c>
      <c r="AZ885" t="s">
        <v>40</v>
      </c>
      <c r="BA885" t="s">
        <v>36</v>
      </c>
      <c r="BB885">
        <v>148482.09</v>
      </c>
      <c r="BC885">
        <v>148482.09</v>
      </c>
      <c r="BD885">
        <v>174598.51</v>
      </c>
      <c r="BE885">
        <v>174598.51</v>
      </c>
      <c r="BF885">
        <v>132584.16</v>
      </c>
      <c r="BG885">
        <v>-26116.42</v>
      </c>
      <c r="BH885">
        <v>102868.55</v>
      </c>
      <c r="BI885">
        <v>0</v>
      </c>
      <c r="BJ885">
        <v>0</v>
      </c>
      <c r="BK885">
        <v>63604.4</v>
      </c>
      <c r="BL885">
        <v>6743.1</v>
      </c>
      <c r="BM885">
        <v>1382.46</v>
      </c>
      <c r="BN885">
        <v>228066.62</v>
      </c>
      <c r="BP885" s="3">
        <v>45683</v>
      </c>
      <c r="BQ885">
        <v>228066.62</v>
      </c>
      <c r="BR885" s="3">
        <v>45636</v>
      </c>
      <c r="BS885" t="s">
        <v>1056</v>
      </c>
    </row>
    <row r="886" spans="1:71" x14ac:dyDescent="0.25">
      <c r="A886" t="s">
        <v>1057</v>
      </c>
      <c r="B886" t="s">
        <v>385</v>
      </c>
      <c r="C886" s="2">
        <f>HYPERLINK("https://szao.dolgi.msk.ru/account/3470238172/", 3470238172)</f>
        <v>3470238172</v>
      </c>
      <c r="D886" t="s">
        <v>29</v>
      </c>
      <c r="E886">
        <v>18881.3</v>
      </c>
      <c r="AX886">
        <v>2.1</v>
      </c>
      <c r="AY886">
        <v>1.97</v>
      </c>
      <c r="AZ886" t="s">
        <v>30</v>
      </c>
      <c r="BA886" t="s">
        <v>31</v>
      </c>
      <c r="BB886">
        <v>18881.3</v>
      </c>
      <c r="BC886">
        <v>18881.3</v>
      </c>
      <c r="BD886">
        <v>18881.3</v>
      </c>
      <c r="BE886">
        <v>18881.3</v>
      </c>
      <c r="BF886">
        <v>9311.69</v>
      </c>
      <c r="BG886">
        <v>1921.28</v>
      </c>
      <c r="BH886">
        <v>2488.2800000000002</v>
      </c>
      <c r="BI886">
        <v>6045.32</v>
      </c>
      <c r="BJ886">
        <v>1702.5</v>
      </c>
      <c r="BK886">
        <v>3217.38</v>
      </c>
      <c r="BL886">
        <v>3037.06</v>
      </c>
      <c r="BM886">
        <v>469.48</v>
      </c>
      <c r="BP886" s="3">
        <v>45643</v>
      </c>
      <c r="BQ886">
        <v>18623.38</v>
      </c>
    </row>
    <row r="887" spans="1:71" x14ac:dyDescent="0.25">
      <c r="A887" t="s">
        <v>1057</v>
      </c>
      <c r="B887" t="s">
        <v>376</v>
      </c>
      <c r="C887" s="2">
        <f>HYPERLINK("https://szao.dolgi.msk.ru/account/3470238594/", 3470238594)</f>
        <v>3470238594</v>
      </c>
      <c r="D887" t="s">
        <v>29</v>
      </c>
      <c r="E887">
        <v>194409.39</v>
      </c>
      <c r="AX887">
        <v>19.98</v>
      </c>
      <c r="AY887">
        <v>18.02</v>
      </c>
      <c r="AZ887" t="s">
        <v>69</v>
      </c>
      <c r="BA887" t="s">
        <v>36</v>
      </c>
      <c r="BB887">
        <v>194409.39</v>
      </c>
      <c r="BC887">
        <v>194409.39</v>
      </c>
      <c r="BD887">
        <v>194409.39</v>
      </c>
      <c r="BE887">
        <v>194409.39</v>
      </c>
      <c r="BF887">
        <v>183622.66</v>
      </c>
      <c r="BG887">
        <v>36701.07</v>
      </c>
      <c r="BH887">
        <v>21387.45</v>
      </c>
      <c r="BI887">
        <v>40608.03</v>
      </c>
      <c r="BJ887">
        <v>12375.51</v>
      </c>
      <c r="BK887">
        <v>26679.360000000001</v>
      </c>
      <c r="BL887">
        <v>49156.3</v>
      </c>
      <c r="BM887">
        <v>7501.67</v>
      </c>
      <c r="BP887" s="3">
        <v>45558</v>
      </c>
      <c r="BQ887">
        <v>19857.61</v>
      </c>
      <c r="BR887" s="3">
        <v>45553</v>
      </c>
      <c r="BS887" t="s">
        <v>1058</v>
      </c>
    </row>
    <row r="888" spans="1:71" x14ac:dyDescent="0.25">
      <c r="A888" t="s">
        <v>1057</v>
      </c>
      <c r="B888" t="s">
        <v>129</v>
      </c>
      <c r="C888" s="2">
        <f>HYPERLINK("https://szao.dolgi.msk.ru/account/3470238818/", 3470238818)</f>
        <v>3470238818</v>
      </c>
      <c r="D888" t="s">
        <v>29</v>
      </c>
      <c r="E888">
        <v>14234.8</v>
      </c>
      <c r="AX888">
        <v>2.4700000000000002</v>
      </c>
      <c r="AY888">
        <v>2.4700000000000002</v>
      </c>
      <c r="AZ888" t="s">
        <v>30</v>
      </c>
      <c r="BA888" t="s">
        <v>31</v>
      </c>
      <c r="BB888">
        <v>14234.8</v>
      </c>
      <c r="BC888">
        <v>14234.8</v>
      </c>
      <c r="BD888">
        <v>14234.8</v>
      </c>
      <c r="BE888">
        <v>14234.8</v>
      </c>
      <c r="BF888">
        <v>8474.42</v>
      </c>
      <c r="BG888">
        <v>3643.58</v>
      </c>
      <c r="BH888">
        <v>1105.8699999999999</v>
      </c>
      <c r="BI888">
        <v>747.85</v>
      </c>
      <c r="BJ888">
        <v>202.7</v>
      </c>
      <c r="BK888">
        <v>1013.33</v>
      </c>
      <c r="BL888">
        <v>6497.16</v>
      </c>
      <c r="BM888">
        <v>1024.31</v>
      </c>
      <c r="BP888" s="3">
        <v>45666</v>
      </c>
      <c r="BQ888">
        <v>949.55</v>
      </c>
      <c r="BR888" s="3">
        <v>45352</v>
      </c>
      <c r="BS888" t="s">
        <v>1059</v>
      </c>
    </row>
    <row r="889" spans="1:71" x14ac:dyDescent="0.25">
      <c r="A889" t="s">
        <v>1057</v>
      </c>
      <c r="B889" t="s">
        <v>108</v>
      </c>
      <c r="C889" s="2">
        <f>HYPERLINK("https://szao.dolgi.msk.ru/account/3470238842/", 3470238842)</f>
        <v>3470238842</v>
      </c>
      <c r="D889" t="s">
        <v>29</v>
      </c>
      <c r="E889">
        <v>188699.37</v>
      </c>
      <c r="AX889">
        <v>13.11</v>
      </c>
      <c r="AY889">
        <v>13.27</v>
      </c>
      <c r="AZ889" t="s">
        <v>56</v>
      </c>
      <c r="BA889" t="s">
        <v>36</v>
      </c>
      <c r="BB889">
        <v>188699.37</v>
      </c>
      <c r="BC889">
        <v>188699.37</v>
      </c>
      <c r="BD889">
        <v>188699.37</v>
      </c>
      <c r="BE889">
        <v>188699.37</v>
      </c>
      <c r="BF889">
        <v>174482.43</v>
      </c>
      <c r="BG889">
        <v>17100.48</v>
      </c>
      <c r="BH889">
        <v>25610.89</v>
      </c>
      <c r="BI889">
        <v>66595.13</v>
      </c>
      <c r="BJ889">
        <v>18551.04</v>
      </c>
      <c r="BK889">
        <v>35469.97</v>
      </c>
      <c r="BL889">
        <v>20629.990000000002</v>
      </c>
      <c r="BM889">
        <v>4741.87</v>
      </c>
      <c r="BP889" s="3">
        <v>45286</v>
      </c>
      <c r="BQ889">
        <v>8795.8799999999992</v>
      </c>
      <c r="BR889" s="3">
        <v>45546</v>
      </c>
      <c r="BS889" t="s">
        <v>1060</v>
      </c>
    </row>
    <row r="890" spans="1:71" x14ac:dyDescent="0.25">
      <c r="A890" t="s">
        <v>1057</v>
      </c>
      <c r="B890" t="s">
        <v>635</v>
      </c>
      <c r="C890" s="2">
        <f>HYPERLINK("https://szao.dolgi.msk.ru/account/3470239108/", 3470239108)</f>
        <v>3470239108</v>
      </c>
      <c r="D890" t="s">
        <v>29</v>
      </c>
      <c r="E890">
        <v>31230.15</v>
      </c>
      <c r="AX890">
        <v>5.73</v>
      </c>
      <c r="AY890">
        <v>5.78</v>
      </c>
      <c r="AZ890" t="s">
        <v>40</v>
      </c>
      <c r="BA890" t="s">
        <v>49</v>
      </c>
      <c r="BB890">
        <v>31230.15</v>
      </c>
      <c r="BC890">
        <v>31230.15</v>
      </c>
      <c r="BD890">
        <v>31230.15</v>
      </c>
      <c r="BE890">
        <v>31230.15</v>
      </c>
      <c r="BF890">
        <v>26270.42</v>
      </c>
      <c r="BG890">
        <v>7505.18</v>
      </c>
      <c r="BH890">
        <v>2887.8</v>
      </c>
      <c r="BI890">
        <v>7042.24</v>
      </c>
      <c r="BJ890">
        <v>1899.4</v>
      </c>
      <c r="BK890">
        <v>3733.16</v>
      </c>
      <c r="BL890">
        <v>6080.37</v>
      </c>
      <c r="BM890">
        <v>2082</v>
      </c>
      <c r="BP890" s="3">
        <v>45630</v>
      </c>
      <c r="BQ890">
        <v>5118</v>
      </c>
      <c r="BR890" s="3">
        <v>45694</v>
      </c>
      <c r="BS890" t="s">
        <v>128</v>
      </c>
    </row>
    <row r="891" spans="1:71" x14ac:dyDescent="0.25">
      <c r="A891" t="s">
        <v>1057</v>
      </c>
      <c r="B891" t="s">
        <v>210</v>
      </c>
      <c r="C891" s="2">
        <f>HYPERLINK("https://szao.dolgi.msk.ru/account/3470239212/", 3470239212)</f>
        <v>3470239212</v>
      </c>
      <c r="D891" t="s">
        <v>29</v>
      </c>
      <c r="E891">
        <v>104235</v>
      </c>
      <c r="AX891">
        <v>3.92</v>
      </c>
      <c r="AY891">
        <v>3.96</v>
      </c>
      <c r="AZ891" t="s">
        <v>30</v>
      </c>
      <c r="BA891" t="s">
        <v>49</v>
      </c>
      <c r="BB891">
        <v>104235</v>
      </c>
      <c r="BC891">
        <v>104235</v>
      </c>
      <c r="BD891">
        <v>104235</v>
      </c>
      <c r="BE891">
        <v>104235</v>
      </c>
      <c r="BF891">
        <v>77901.81</v>
      </c>
      <c r="BG891">
        <v>5085.72</v>
      </c>
      <c r="BH891">
        <v>17417.96</v>
      </c>
      <c r="BI891">
        <v>42317.24</v>
      </c>
      <c r="BJ891">
        <v>11917.56</v>
      </c>
      <c r="BK891">
        <v>22521.599999999999</v>
      </c>
      <c r="BL891">
        <v>4308.84</v>
      </c>
      <c r="BM891">
        <v>666.08</v>
      </c>
      <c r="BP891" s="3">
        <v>45637</v>
      </c>
      <c r="BQ891">
        <v>25967.27</v>
      </c>
      <c r="BR891" s="3">
        <v>45567</v>
      </c>
      <c r="BS891" t="s">
        <v>1061</v>
      </c>
    </row>
    <row r="892" spans="1:71" x14ac:dyDescent="0.25">
      <c r="A892" t="s">
        <v>1057</v>
      </c>
      <c r="B892" t="s">
        <v>1062</v>
      </c>
      <c r="C892" s="2">
        <f>HYPERLINK("https://szao.dolgi.msk.ru/account/3470239247/", 3470239247)</f>
        <v>3470239247</v>
      </c>
      <c r="D892" t="s">
        <v>29</v>
      </c>
      <c r="E892">
        <v>270492.89</v>
      </c>
      <c r="AX892">
        <v>9.01</v>
      </c>
      <c r="AY892">
        <v>8.93</v>
      </c>
      <c r="AZ892" t="s">
        <v>30</v>
      </c>
      <c r="BA892" t="s">
        <v>63</v>
      </c>
      <c r="BB892">
        <v>270492.89</v>
      </c>
      <c r="BC892">
        <v>270492.89</v>
      </c>
      <c r="BD892">
        <v>272027.46999999997</v>
      </c>
      <c r="BE892">
        <v>272027.46999999997</v>
      </c>
      <c r="BF892">
        <v>240206.15</v>
      </c>
      <c r="BG892">
        <v>-1424.02</v>
      </c>
      <c r="BH892">
        <v>39093.17</v>
      </c>
      <c r="BI892">
        <v>136192.71</v>
      </c>
      <c r="BJ892">
        <v>34513.39</v>
      </c>
      <c r="BK892">
        <v>61076.75</v>
      </c>
      <c r="BL892">
        <v>1151.45</v>
      </c>
      <c r="BM892">
        <v>-110.56</v>
      </c>
      <c r="BP892" s="3">
        <v>45653</v>
      </c>
      <c r="BQ892">
        <v>30000</v>
      </c>
      <c r="BR892" s="3">
        <v>45598</v>
      </c>
      <c r="BS892" t="s">
        <v>1063</v>
      </c>
    </row>
    <row r="893" spans="1:71" x14ac:dyDescent="0.25">
      <c r="A893" t="s">
        <v>1057</v>
      </c>
      <c r="B893" t="s">
        <v>445</v>
      </c>
      <c r="C893" s="2">
        <f>HYPERLINK("https://szao.dolgi.msk.ru/account/3470421209/", 3470421209)</f>
        <v>3470421209</v>
      </c>
      <c r="D893" t="s">
        <v>29</v>
      </c>
      <c r="E893">
        <v>9569.36</v>
      </c>
      <c r="AX893">
        <v>2.21</v>
      </c>
      <c r="AY893">
        <v>2.33</v>
      </c>
      <c r="AZ893" t="s">
        <v>30</v>
      </c>
      <c r="BA893" t="s">
        <v>31</v>
      </c>
      <c r="BB893">
        <v>9569.36</v>
      </c>
      <c r="BC893">
        <v>9569.36</v>
      </c>
      <c r="BD893">
        <v>9569.36</v>
      </c>
      <c r="BE893">
        <v>9569.36</v>
      </c>
      <c r="BF893">
        <v>5454.25</v>
      </c>
      <c r="BG893">
        <v>1365.92</v>
      </c>
      <c r="BH893">
        <v>897.98</v>
      </c>
      <c r="BI893">
        <v>1058.2</v>
      </c>
      <c r="BJ893">
        <v>298.01</v>
      </c>
      <c r="BK893">
        <v>963.35</v>
      </c>
      <c r="BL893">
        <v>4318.34</v>
      </c>
      <c r="BM893">
        <v>667.56</v>
      </c>
      <c r="BP893" s="3">
        <v>45636</v>
      </c>
      <c r="BQ893">
        <v>9280.7900000000009</v>
      </c>
    </row>
    <row r="894" spans="1:71" x14ac:dyDescent="0.25">
      <c r="A894" t="s">
        <v>1057</v>
      </c>
      <c r="B894" t="s">
        <v>367</v>
      </c>
      <c r="C894" s="2">
        <f>HYPERLINK("https://szao.dolgi.msk.ru/account/3470237428/", 3470237428)</f>
        <v>3470237428</v>
      </c>
      <c r="D894" t="s">
        <v>29</v>
      </c>
      <c r="E894">
        <v>19224.009999999998</v>
      </c>
      <c r="AX894">
        <v>5.4</v>
      </c>
      <c r="AY894">
        <v>6.92</v>
      </c>
      <c r="AZ894" t="s">
        <v>40</v>
      </c>
      <c r="BA894" t="s">
        <v>49</v>
      </c>
      <c r="BB894">
        <v>19224.009999999998</v>
      </c>
      <c r="BC894">
        <v>19224.009999999998</v>
      </c>
      <c r="BD894">
        <v>19224.009999999998</v>
      </c>
      <c r="BE894">
        <v>19224.009999999998</v>
      </c>
      <c r="BF894">
        <v>16444.89</v>
      </c>
      <c r="BG894">
        <v>1753.16</v>
      </c>
      <c r="BH894">
        <v>470.92</v>
      </c>
      <c r="BI894">
        <v>9051.52</v>
      </c>
      <c r="BJ894">
        <v>2549.12</v>
      </c>
      <c r="BK894">
        <v>2199.5500000000002</v>
      </c>
      <c r="BL894">
        <v>2771.34</v>
      </c>
      <c r="BM894">
        <v>428.4</v>
      </c>
      <c r="BP894" s="3">
        <v>45629</v>
      </c>
      <c r="BQ894">
        <v>2358.77</v>
      </c>
    </row>
    <row r="895" spans="1:71" x14ac:dyDescent="0.25">
      <c r="A895" t="s">
        <v>1057</v>
      </c>
      <c r="B895" t="s">
        <v>518</v>
      </c>
      <c r="C895" s="2">
        <f>HYPERLINK("https://szao.dolgi.msk.ru/account/3470237743/", 3470237743)</f>
        <v>3470237743</v>
      </c>
      <c r="D895" t="s">
        <v>29</v>
      </c>
      <c r="E895">
        <v>2585.2399999999998</v>
      </c>
      <c r="AX895">
        <v>3.12</v>
      </c>
      <c r="AY895">
        <v>1</v>
      </c>
      <c r="AZ895" t="s">
        <v>40</v>
      </c>
      <c r="BA895" t="s">
        <v>49</v>
      </c>
      <c r="BB895">
        <v>2585.2399999999998</v>
      </c>
      <c r="BC895">
        <v>2585.2399999999998</v>
      </c>
      <c r="BD895">
        <v>2585.2399999999998</v>
      </c>
      <c r="BE895">
        <v>2585.2399999999998</v>
      </c>
      <c r="BF895">
        <v>0</v>
      </c>
      <c r="BG895">
        <v>990.85</v>
      </c>
      <c r="BH895">
        <v>0</v>
      </c>
      <c r="BI895">
        <v>0</v>
      </c>
      <c r="BJ895">
        <v>0</v>
      </c>
      <c r="BK895">
        <v>0</v>
      </c>
      <c r="BL895">
        <v>1380.92</v>
      </c>
      <c r="BM895">
        <v>213.47</v>
      </c>
      <c r="BP895" s="3">
        <v>45653</v>
      </c>
      <c r="BQ895">
        <v>2562.5700000000002</v>
      </c>
    </row>
    <row r="896" spans="1:71" x14ac:dyDescent="0.25">
      <c r="A896" t="s">
        <v>1057</v>
      </c>
      <c r="B896" t="s">
        <v>759</v>
      </c>
      <c r="C896" s="2">
        <f>HYPERLINK("https://szao.dolgi.msk.ru/account/3470237858/", 3470237858)</f>
        <v>3470237858</v>
      </c>
      <c r="D896" t="s">
        <v>29</v>
      </c>
      <c r="E896">
        <v>11708.27</v>
      </c>
      <c r="AX896">
        <v>2.0499999999999998</v>
      </c>
      <c r="AY896">
        <v>1.93</v>
      </c>
      <c r="AZ896" t="s">
        <v>30</v>
      </c>
      <c r="BA896" t="s">
        <v>31</v>
      </c>
      <c r="BB896">
        <v>11708.27</v>
      </c>
      <c r="BC896">
        <v>11708.27</v>
      </c>
      <c r="BD896">
        <v>11708.27</v>
      </c>
      <c r="BE896">
        <v>11708.27</v>
      </c>
      <c r="BF896">
        <v>8234.02</v>
      </c>
      <c r="BG896">
        <v>2773.85</v>
      </c>
      <c r="BH896">
        <v>184.18</v>
      </c>
      <c r="BI896">
        <v>2367.59</v>
      </c>
      <c r="BJ896">
        <v>666.77</v>
      </c>
      <c r="BK896">
        <v>653.29999999999995</v>
      </c>
      <c r="BL896">
        <v>4384.76</v>
      </c>
      <c r="BM896">
        <v>677.82</v>
      </c>
      <c r="BP896" s="3">
        <v>45650</v>
      </c>
      <c r="BQ896">
        <v>13867.91</v>
      </c>
      <c r="BR896" s="3">
        <v>45079</v>
      </c>
      <c r="BS896" t="s">
        <v>1064</v>
      </c>
    </row>
    <row r="897" spans="1:71" x14ac:dyDescent="0.25">
      <c r="A897" t="s">
        <v>1057</v>
      </c>
      <c r="B897" t="s">
        <v>1065</v>
      </c>
      <c r="C897" s="2">
        <f>HYPERLINK("https://szao.dolgi.msk.ru/account/3470237946/", 3470237946)</f>
        <v>3470237946</v>
      </c>
      <c r="D897" t="s">
        <v>29</v>
      </c>
      <c r="E897">
        <v>40915.86</v>
      </c>
      <c r="AX897">
        <v>3.97</v>
      </c>
      <c r="AY897">
        <v>3.9</v>
      </c>
      <c r="AZ897" t="s">
        <v>30</v>
      </c>
      <c r="BA897" t="s">
        <v>49</v>
      </c>
      <c r="BB897">
        <v>40915.86</v>
      </c>
      <c r="BC897">
        <v>40915.86</v>
      </c>
      <c r="BD897">
        <v>40915.86</v>
      </c>
      <c r="BE897">
        <v>40915.86</v>
      </c>
      <c r="BF897">
        <v>30431.19</v>
      </c>
      <c r="BG897">
        <v>4738.46</v>
      </c>
      <c r="BH897">
        <v>4976.5600000000004</v>
      </c>
      <c r="BI897">
        <v>12090.64</v>
      </c>
      <c r="BJ897">
        <v>3405</v>
      </c>
      <c r="BK897">
        <v>6434.76</v>
      </c>
      <c r="BL897">
        <v>8029.24</v>
      </c>
      <c r="BM897">
        <v>1241.2</v>
      </c>
      <c r="BP897" s="3">
        <v>45650</v>
      </c>
      <c r="BQ897">
        <v>10143.73</v>
      </c>
    </row>
    <row r="898" spans="1:71" x14ac:dyDescent="0.25">
      <c r="A898" t="s">
        <v>1057</v>
      </c>
      <c r="B898" t="s">
        <v>453</v>
      </c>
      <c r="C898" s="2">
        <f>HYPERLINK("https://szao.dolgi.msk.ru/account/3470238121/", 3470238121)</f>
        <v>3470238121</v>
      </c>
      <c r="D898" t="s">
        <v>29</v>
      </c>
      <c r="E898">
        <v>464449.05</v>
      </c>
      <c r="AX898">
        <v>45.63</v>
      </c>
      <c r="AY898">
        <v>42.85</v>
      </c>
      <c r="AZ898" t="s">
        <v>56</v>
      </c>
      <c r="BA898" t="s">
        <v>36</v>
      </c>
      <c r="BB898">
        <v>464449.05</v>
      </c>
      <c r="BC898">
        <v>464449.05</v>
      </c>
      <c r="BD898">
        <v>464449.05</v>
      </c>
      <c r="BE898">
        <v>464449.05</v>
      </c>
      <c r="BF898">
        <v>453609.02</v>
      </c>
      <c r="BG898">
        <v>69015.929999999993</v>
      </c>
      <c r="BH898">
        <v>55583.27</v>
      </c>
      <c r="BI898">
        <v>119464.89</v>
      </c>
      <c r="BJ898">
        <v>31588.15</v>
      </c>
      <c r="BK898">
        <v>53314.69</v>
      </c>
      <c r="BL898">
        <v>122982.65</v>
      </c>
      <c r="BM898">
        <v>12499.47</v>
      </c>
      <c r="BP898" s="3">
        <v>45596</v>
      </c>
      <c r="BQ898">
        <v>0</v>
      </c>
      <c r="BR898" s="3">
        <v>45636</v>
      </c>
      <c r="BS898" t="s">
        <v>1066</v>
      </c>
    </row>
    <row r="899" spans="1:71" x14ac:dyDescent="0.25">
      <c r="A899" t="s">
        <v>1067</v>
      </c>
      <c r="B899" t="s">
        <v>136</v>
      </c>
      <c r="C899" s="2">
        <f>HYPERLINK("https://szao.dolgi.msk.ru/account/3470310779/", 3470310779)</f>
        <v>3470310779</v>
      </c>
      <c r="D899" t="s">
        <v>29</v>
      </c>
      <c r="E899">
        <v>8647.89</v>
      </c>
      <c r="AX899">
        <v>2.2000000000000002</v>
      </c>
      <c r="AY899">
        <v>1.94</v>
      </c>
      <c r="AZ899" t="s">
        <v>30</v>
      </c>
      <c r="BA899" t="s">
        <v>31</v>
      </c>
      <c r="BB899">
        <v>8647.89</v>
      </c>
      <c r="BC899">
        <v>8647.89</v>
      </c>
      <c r="BD899">
        <v>8647.89</v>
      </c>
      <c r="BE899">
        <v>8647.89</v>
      </c>
      <c r="BF899">
        <v>4199.42</v>
      </c>
      <c r="BG899">
        <v>1855.23</v>
      </c>
      <c r="BH899">
        <v>1768.9</v>
      </c>
      <c r="BI899">
        <v>0</v>
      </c>
      <c r="BJ899">
        <v>0</v>
      </c>
      <c r="BK899">
        <v>1358.02</v>
      </c>
      <c r="BL899">
        <v>3212.4</v>
      </c>
      <c r="BM899">
        <v>453.34</v>
      </c>
      <c r="BP899" s="3">
        <v>45649</v>
      </c>
      <c r="BQ899">
        <v>4199.42</v>
      </c>
    </row>
    <row r="900" spans="1:71" x14ac:dyDescent="0.25">
      <c r="A900" t="s">
        <v>1067</v>
      </c>
      <c r="B900" t="s">
        <v>550</v>
      </c>
      <c r="C900" s="2">
        <f>HYPERLINK("https://szao.dolgi.msk.ru/account/3470241494/", 3470241494)</f>
        <v>3470241494</v>
      </c>
      <c r="D900" t="s">
        <v>29</v>
      </c>
      <c r="E900">
        <v>261336.24</v>
      </c>
      <c r="AX900">
        <v>28.57</v>
      </c>
      <c r="AY900">
        <v>25.56</v>
      </c>
      <c r="AZ900" t="s">
        <v>45</v>
      </c>
      <c r="BA900" t="s">
        <v>36</v>
      </c>
      <c r="BB900">
        <v>261336.24</v>
      </c>
      <c r="BC900">
        <v>261336.24</v>
      </c>
      <c r="BD900">
        <v>261336.24</v>
      </c>
      <c r="BE900">
        <v>261336.24</v>
      </c>
      <c r="BF900">
        <v>251172.54</v>
      </c>
      <c r="BG900">
        <v>45598.84</v>
      </c>
      <c r="BH900">
        <v>80221.77</v>
      </c>
      <c r="BI900">
        <v>0</v>
      </c>
      <c r="BJ900">
        <v>0</v>
      </c>
      <c r="BK900">
        <v>39366.199999999997</v>
      </c>
      <c r="BL900">
        <v>86227.31</v>
      </c>
      <c r="BM900">
        <v>9922.1200000000008</v>
      </c>
      <c r="BP900" s="3">
        <v>45623</v>
      </c>
      <c r="BQ900">
        <v>68.83</v>
      </c>
      <c r="BR900" s="3">
        <v>45516</v>
      </c>
      <c r="BS900" t="s">
        <v>561</v>
      </c>
    </row>
    <row r="901" spans="1:71" x14ac:dyDescent="0.25">
      <c r="A901" t="s">
        <v>1067</v>
      </c>
      <c r="B901" t="s">
        <v>627</v>
      </c>
      <c r="C901" s="2">
        <f>HYPERLINK("https://szao.dolgi.msk.ru/account/3470241953/", 3470241953)</f>
        <v>3470241953</v>
      </c>
      <c r="D901" t="s">
        <v>29</v>
      </c>
      <c r="E901">
        <v>17482.310000000001</v>
      </c>
      <c r="AX901">
        <v>5.28</v>
      </c>
      <c r="AY901">
        <v>5.74</v>
      </c>
      <c r="AZ901" t="s">
        <v>30</v>
      </c>
      <c r="BA901" t="s">
        <v>49</v>
      </c>
      <c r="BB901">
        <v>17482.310000000001</v>
      </c>
      <c r="BC901">
        <v>17482.310000000001</v>
      </c>
      <c r="BD901">
        <v>17482.310000000001</v>
      </c>
      <c r="BE901">
        <v>17482.310000000001</v>
      </c>
      <c r="BF901">
        <v>14498.88</v>
      </c>
      <c r="BG901">
        <v>1585.4</v>
      </c>
      <c r="BH901">
        <v>6950.36</v>
      </c>
      <c r="BI901">
        <v>0</v>
      </c>
      <c r="BJ901">
        <v>0</v>
      </c>
      <c r="BK901">
        <v>5335.97</v>
      </c>
      <c r="BL901">
        <v>3163.1</v>
      </c>
      <c r="BM901">
        <v>447.48</v>
      </c>
      <c r="BO901">
        <v>3045.55</v>
      </c>
      <c r="BP901" s="3">
        <v>45674</v>
      </c>
      <c r="BQ901">
        <v>3045.55</v>
      </c>
      <c r="BR901" s="3">
        <v>45475</v>
      </c>
      <c r="BS901" t="s">
        <v>1068</v>
      </c>
    </row>
    <row r="902" spans="1:71" x14ac:dyDescent="0.25">
      <c r="A902" t="s">
        <v>1067</v>
      </c>
      <c r="B902" t="s">
        <v>284</v>
      </c>
      <c r="C902" s="2">
        <f>HYPERLINK("https://szao.dolgi.msk.ru/account/3470241996/", 3470241996)</f>
        <v>3470241996</v>
      </c>
      <c r="D902" t="s">
        <v>29</v>
      </c>
      <c r="E902">
        <v>10035.459999999999</v>
      </c>
      <c r="AX902">
        <v>2.1</v>
      </c>
      <c r="AY902">
        <v>1.85</v>
      </c>
      <c r="AZ902" t="s">
        <v>35</v>
      </c>
      <c r="BA902" t="s">
        <v>31</v>
      </c>
      <c r="BB902">
        <v>10035.459999999999</v>
      </c>
      <c r="BC902">
        <v>10035.459999999999</v>
      </c>
      <c r="BD902">
        <v>10035.459999999999</v>
      </c>
      <c r="BE902">
        <v>10035.459999999999</v>
      </c>
      <c r="BF902">
        <v>4622.24</v>
      </c>
      <c r="BG902">
        <v>2485.66</v>
      </c>
      <c r="BH902">
        <v>1498.47</v>
      </c>
      <c r="BI902">
        <v>0</v>
      </c>
      <c r="BJ902">
        <v>0</v>
      </c>
      <c r="BK902">
        <v>1150.4100000000001</v>
      </c>
      <c r="BL902">
        <v>4293.5200000000004</v>
      </c>
      <c r="BM902">
        <v>607.4</v>
      </c>
      <c r="BP902" s="3">
        <v>45667</v>
      </c>
      <c r="BQ902">
        <v>5268.55</v>
      </c>
      <c r="BR902" s="3">
        <v>45184</v>
      </c>
      <c r="BS902" t="s">
        <v>1069</v>
      </c>
    </row>
    <row r="903" spans="1:71" x14ac:dyDescent="0.25">
      <c r="A903" t="s">
        <v>1067</v>
      </c>
      <c r="B903" t="s">
        <v>359</v>
      </c>
      <c r="C903" s="2">
        <f>HYPERLINK("https://szao.dolgi.msk.ru/account/3470242008/", 3470242008)</f>
        <v>3470242008</v>
      </c>
      <c r="D903" t="s">
        <v>29</v>
      </c>
      <c r="E903">
        <v>46508.19</v>
      </c>
      <c r="AX903">
        <v>10.1</v>
      </c>
      <c r="AY903">
        <v>12.06</v>
      </c>
      <c r="AZ903" t="s">
        <v>40</v>
      </c>
      <c r="BA903" t="s">
        <v>63</v>
      </c>
      <c r="BB903">
        <v>46508.19</v>
      </c>
      <c r="BC903">
        <v>46508.19</v>
      </c>
      <c r="BD903">
        <v>46508.19</v>
      </c>
      <c r="BE903">
        <v>46508.19</v>
      </c>
      <c r="BF903">
        <v>42651.83</v>
      </c>
      <c r="BG903">
        <v>1035.1199999999999</v>
      </c>
      <c r="BH903">
        <v>16995.5</v>
      </c>
      <c r="BI903">
        <v>0</v>
      </c>
      <c r="BJ903">
        <v>0</v>
      </c>
      <c r="BK903">
        <v>12431.36</v>
      </c>
      <c r="BL903">
        <v>13383.62</v>
      </c>
      <c r="BM903">
        <v>2662.59</v>
      </c>
      <c r="BN903">
        <v>30793.37</v>
      </c>
      <c r="BP903" s="3">
        <v>45671</v>
      </c>
      <c r="BQ903">
        <v>30793.37</v>
      </c>
      <c r="BR903" s="3">
        <v>45184</v>
      </c>
      <c r="BS903" t="s">
        <v>1070</v>
      </c>
    </row>
    <row r="904" spans="1:71" x14ac:dyDescent="0.25">
      <c r="A904" t="s">
        <v>1071</v>
      </c>
      <c r="B904" t="s">
        <v>34</v>
      </c>
      <c r="C904" s="2">
        <f>HYPERLINK("https://szao.dolgi.msk.ru/account/3470243019/", 3470243019)</f>
        <v>3470243019</v>
      </c>
      <c r="D904" t="s">
        <v>29</v>
      </c>
      <c r="E904">
        <v>49004.800000000003</v>
      </c>
      <c r="AX904">
        <v>6.71</v>
      </c>
      <c r="AY904">
        <v>6.13</v>
      </c>
      <c r="AZ904" t="s">
        <v>40</v>
      </c>
      <c r="BA904" t="s">
        <v>66</v>
      </c>
      <c r="BB904">
        <v>49004.800000000003</v>
      </c>
      <c r="BC904">
        <v>49004.800000000003</v>
      </c>
      <c r="BD904">
        <v>49004.800000000003</v>
      </c>
      <c r="BE904">
        <v>49004.800000000003</v>
      </c>
      <c r="BF904">
        <v>41044.21</v>
      </c>
      <c r="BG904">
        <v>6147.1</v>
      </c>
      <c r="BH904">
        <v>6802.18</v>
      </c>
      <c r="BI904">
        <v>10087.700000000001</v>
      </c>
      <c r="BJ904">
        <v>5299.39</v>
      </c>
      <c r="BK904">
        <v>6250.86</v>
      </c>
      <c r="BL904">
        <v>11970.93</v>
      </c>
      <c r="BM904">
        <v>2446.64</v>
      </c>
      <c r="BP904" s="3">
        <v>45667</v>
      </c>
      <c r="BQ904">
        <v>0.02</v>
      </c>
      <c r="BR904" s="3">
        <v>45271</v>
      </c>
      <c r="BS904" t="s">
        <v>1072</v>
      </c>
    </row>
    <row r="905" spans="1:71" x14ac:dyDescent="0.25">
      <c r="A905" t="s">
        <v>1071</v>
      </c>
      <c r="B905" t="s">
        <v>364</v>
      </c>
      <c r="C905" s="2">
        <f>HYPERLINK("https://szao.dolgi.msk.ru/account/3470242948/", 3470242948)</f>
        <v>3470242948</v>
      </c>
      <c r="D905" t="s">
        <v>29</v>
      </c>
      <c r="E905">
        <v>10650.09</v>
      </c>
      <c r="AX905">
        <v>3.57</v>
      </c>
      <c r="AY905">
        <v>3.53</v>
      </c>
      <c r="AZ905" t="s">
        <v>69</v>
      </c>
      <c r="BA905" t="s">
        <v>49</v>
      </c>
      <c r="BB905">
        <v>10650.09</v>
      </c>
      <c r="BC905">
        <v>10650.09</v>
      </c>
      <c r="BD905">
        <v>10650.09</v>
      </c>
      <c r="BE905">
        <v>10650.09</v>
      </c>
      <c r="BF905">
        <v>7630.01</v>
      </c>
      <c r="BG905">
        <v>3248.58</v>
      </c>
      <c r="BH905">
        <v>354.94</v>
      </c>
      <c r="BI905">
        <v>1038.44</v>
      </c>
      <c r="BJ905">
        <v>302.27999999999997</v>
      </c>
      <c r="BK905">
        <v>498.57</v>
      </c>
      <c r="BL905">
        <v>4356.32</v>
      </c>
      <c r="BM905">
        <v>850.96</v>
      </c>
      <c r="BP905" s="3">
        <v>45576</v>
      </c>
      <c r="BQ905">
        <v>2055.5300000000002</v>
      </c>
    </row>
    <row r="906" spans="1:71" x14ac:dyDescent="0.25">
      <c r="A906" t="s">
        <v>1071</v>
      </c>
      <c r="B906" t="s">
        <v>481</v>
      </c>
      <c r="C906" s="2">
        <f>HYPERLINK("https://szao.dolgi.msk.ru/account/3470243043/", 3470243043)</f>
        <v>3470243043</v>
      </c>
      <c r="D906" t="s">
        <v>29</v>
      </c>
      <c r="E906">
        <v>11480.77</v>
      </c>
      <c r="AX906">
        <v>2.66</v>
      </c>
      <c r="AY906">
        <v>2.8</v>
      </c>
      <c r="AZ906" t="s">
        <v>30</v>
      </c>
      <c r="BA906" t="s">
        <v>31</v>
      </c>
      <c r="BB906">
        <v>11480.77</v>
      </c>
      <c r="BC906">
        <v>11480.77</v>
      </c>
      <c r="BD906">
        <v>11480.77</v>
      </c>
      <c r="BE906">
        <v>11480.77</v>
      </c>
      <c r="BF906">
        <v>7376.75</v>
      </c>
      <c r="BG906">
        <v>3914.38</v>
      </c>
      <c r="BH906">
        <v>602.47</v>
      </c>
      <c r="BI906">
        <v>891.13</v>
      </c>
      <c r="BJ906">
        <v>250.96</v>
      </c>
      <c r="BK906">
        <v>655.20000000000005</v>
      </c>
      <c r="BL906">
        <v>4415.6099999999997</v>
      </c>
      <c r="BM906">
        <v>751.02</v>
      </c>
      <c r="BP906" s="3">
        <v>45622</v>
      </c>
      <c r="BQ906">
        <v>3553.04</v>
      </c>
    </row>
    <row r="907" spans="1:71" x14ac:dyDescent="0.25">
      <c r="A907" t="s">
        <v>1071</v>
      </c>
      <c r="B907" t="s">
        <v>85</v>
      </c>
      <c r="C907" s="2">
        <f>HYPERLINK("https://szao.dolgi.msk.ru/account/3470243289/", 3470243289)</f>
        <v>3470243289</v>
      </c>
      <c r="D907" t="s">
        <v>29</v>
      </c>
      <c r="E907">
        <v>161209.26999999999</v>
      </c>
      <c r="AX907">
        <v>37.630000000000003</v>
      </c>
      <c r="AY907">
        <v>36.85</v>
      </c>
      <c r="AZ907" t="s">
        <v>30</v>
      </c>
      <c r="BA907" t="s">
        <v>36</v>
      </c>
      <c r="BB907">
        <v>161209.26999999999</v>
      </c>
      <c r="BC907">
        <v>161209.26999999999</v>
      </c>
      <c r="BD907">
        <v>175586.6</v>
      </c>
      <c r="BE907">
        <v>175586.6</v>
      </c>
      <c r="BF907">
        <v>162375.76</v>
      </c>
      <c r="BG907">
        <v>-14377.33</v>
      </c>
      <c r="BH907">
        <v>20163.580000000002</v>
      </c>
      <c r="BI907">
        <v>57165.25</v>
      </c>
      <c r="BJ907">
        <v>16952.57</v>
      </c>
      <c r="BK907">
        <v>26204.21</v>
      </c>
      <c r="BL907">
        <v>50025.22</v>
      </c>
      <c r="BM907">
        <v>5075.7700000000004</v>
      </c>
      <c r="BN907">
        <v>8582.17</v>
      </c>
      <c r="BO907">
        <v>2981.87</v>
      </c>
      <c r="BP907" s="3">
        <v>45692</v>
      </c>
      <c r="BQ907">
        <v>5680.61</v>
      </c>
      <c r="BR907" s="3">
        <v>45496</v>
      </c>
      <c r="BS907" t="s">
        <v>1073</v>
      </c>
    </row>
    <row r="908" spans="1:71" x14ac:dyDescent="0.25">
      <c r="A908" t="s">
        <v>1071</v>
      </c>
      <c r="B908" t="s">
        <v>282</v>
      </c>
      <c r="C908" s="2">
        <f>HYPERLINK("https://szao.dolgi.msk.ru/account/3470243422/", 3470243422)</f>
        <v>3470243422</v>
      </c>
      <c r="D908" t="s">
        <v>29</v>
      </c>
      <c r="E908">
        <v>233727.74</v>
      </c>
      <c r="AX908">
        <v>24.11</v>
      </c>
      <c r="AY908">
        <v>25.29</v>
      </c>
      <c r="AZ908" t="s">
        <v>40</v>
      </c>
      <c r="BA908" t="s">
        <v>36</v>
      </c>
      <c r="BB908">
        <v>233727.74</v>
      </c>
      <c r="BC908">
        <v>233727.74</v>
      </c>
      <c r="BD908">
        <v>233727.74</v>
      </c>
      <c r="BE908">
        <v>233727.74</v>
      </c>
      <c r="BF908">
        <v>233484.98</v>
      </c>
      <c r="BG908">
        <v>34365.269999999997</v>
      </c>
      <c r="BH908">
        <v>28439.67</v>
      </c>
      <c r="BI908">
        <v>58055.82</v>
      </c>
      <c r="BJ908">
        <v>16759.45</v>
      </c>
      <c r="BK908">
        <v>31644.05</v>
      </c>
      <c r="BL908">
        <v>56038.83</v>
      </c>
      <c r="BM908">
        <v>8424.65</v>
      </c>
      <c r="BN908">
        <v>20027</v>
      </c>
      <c r="BP908" s="3">
        <v>45693</v>
      </c>
      <c r="BQ908">
        <v>9000</v>
      </c>
      <c r="BR908" s="3">
        <v>45636</v>
      </c>
      <c r="BS908" t="s">
        <v>1074</v>
      </c>
    </row>
    <row r="909" spans="1:71" x14ac:dyDescent="0.25">
      <c r="A909" t="s">
        <v>1071</v>
      </c>
      <c r="B909" t="s">
        <v>354</v>
      </c>
      <c r="C909" s="2">
        <f>HYPERLINK("https://szao.dolgi.msk.ru/account/3470243561/", 3470243561)</f>
        <v>3470243561</v>
      </c>
      <c r="D909" t="s">
        <v>29</v>
      </c>
      <c r="E909">
        <v>137076.54999999999</v>
      </c>
      <c r="AX909">
        <v>27.48</v>
      </c>
      <c r="AY909">
        <v>27.38</v>
      </c>
      <c r="AZ909" t="s">
        <v>40</v>
      </c>
      <c r="BA909" t="s">
        <v>36</v>
      </c>
      <c r="BB909">
        <v>137076.54999999999</v>
      </c>
      <c r="BC909">
        <v>137076.54999999999</v>
      </c>
      <c r="BD909">
        <v>137076.54999999999</v>
      </c>
      <c r="BE909">
        <v>137076.54999999999</v>
      </c>
      <c r="BF909">
        <v>132070.57999999999</v>
      </c>
      <c r="BG909">
        <v>35889.800000000003</v>
      </c>
      <c r="BH909">
        <v>879.74</v>
      </c>
      <c r="BI909">
        <v>18910.54</v>
      </c>
      <c r="BJ909">
        <v>5127.83</v>
      </c>
      <c r="BK909">
        <v>6315.48</v>
      </c>
      <c r="BL909">
        <v>62076.9</v>
      </c>
      <c r="BM909">
        <v>7876.26</v>
      </c>
      <c r="BP909" s="3">
        <v>45647</v>
      </c>
      <c r="BQ909">
        <v>17959.37</v>
      </c>
      <c r="BR909" s="3">
        <v>45362</v>
      </c>
      <c r="BS909" t="s">
        <v>1075</v>
      </c>
    </row>
    <row r="910" spans="1:71" x14ac:dyDescent="0.25">
      <c r="A910" t="s">
        <v>1071</v>
      </c>
      <c r="B910" t="s">
        <v>90</v>
      </c>
      <c r="C910" s="2">
        <f>HYPERLINK("https://szao.dolgi.msk.ru/account/3470243588/", 3470243588)</f>
        <v>3470243588</v>
      </c>
      <c r="D910" t="s">
        <v>29</v>
      </c>
      <c r="E910">
        <v>14216.78</v>
      </c>
      <c r="AX910">
        <v>2.0099999999999998</v>
      </c>
      <c r="AY910">
        <v>1.96</v>
      </c>
      <c r="AZ910" t="s">
        <v>40</v>
      </c>
      <c r="BA910" t="s">
        <v>31</v>
      </c>
      <c r="BB910">
        <v>14216.78</v>
      </c>
      <c r="BC910">
        <v>14216.78</v>
      </c>
      <c r="BD910">
        <v>14216.78</v>
      </c>
      <c r="BE910">
        <v>14216.78</v>
      </c>
      <c r="BF910">
        <v>6977.01</v>
      </c>
      <c r="BG910">
        <v>1957.3</v>
      </c>
      <c r="BH910">
        <v>1658.86</v>
      </c>
      <c r="BI910">
        <v>4030.22</v>
      </c>
      <c r="BJ910">
        <v>1135</v>
      </c>
      <c r="BK910">
        <v>2144.92</v>
      </c>
      <c r="BL910">
        <v>2812.2</v>
      </c>
      <c r="BM910">
        <v>478.28</v>
      </c>
      <c r="BP910" s="3">
        <v>45666</v>
      </c>
      <c r="BQ910">
        <v>6977.01</v>
      </c>
    </row>
    <row r="911" spans="1:71" x14ac:dyDescent="0.25">
      <c r="A911" t="s">
        <v>1071</v>
      </c>
      <c r="B911" t="s">
        <v>1076</v>
      </c>
      <c r="C911" s="2">
        <f>HYPERLINK("https://szao.dolgi.msk.ru/account/3470243967/", 3470243967)</f>
        <v>3470243967</v>
      </c>
      <c r="D911" t="s">
        <v>29</v>
      </c>
      <c r="E911">
        <v>56743.87</v>
      </c>
      <c r="AX911">
        <v>5.3</v>
      </c>
      <c r="AY911">
        <v>5.38</v>
      </c>
      <c r="AZ911" t="s">
        <v>40</v>
      </c>
      <c r="BA911" t="s">
        <v>49</v>
      </c>
      <c r="BB911">
        <v>56743.87</v>
      </c>
      <c r="BC911">
        <v>56743.87</v>
      </c>
      <c r="BD911">
        <v>56743.87</v>
      </c>
      <c r="BE911">
        <v>56743.87</v>
      </c>
      <c r="BF911">
        <v>56380.36</v>
      </c>
      <c r="BG911">
        <v>7032.9</v>
      </c>
      <c r="BH911">
        <v>6726.68</v>
      </c>
      <c r="BI911">
        <v>16990.88</v>
      </c>
      <c r="BJ911">
        <v>4602.46</v>
      </c>
      <c r="BK911">
        <v>8819.58</v>
      </c>
      <c r="BL911">
        <v>10593.61</v>
      </c>
      <c r="BM911">
        <v>1977.76</v>
      </c>
      <c r="BN911">
        <v>10174.98</v>
      </c>
      <c r="BO911">
        <v>10538.49</v>
      </c>
      <c r="BP911" s="3">
        <v>45694</v>
      </c>
      <c r="BQ911">
        <v>10174.98</v>
      </c>
      <c r="BR911" s="3">
        <v>45265</v>
      </c>
      <c r="BS911" t="s">
        <v>1077</v>
      </c>
    </row>
    <row r="912" spans="1:71" x14ac:dyDescent="0.25">
      <c r="A912" t="s">
        <v>1071</v>
      </c>
      <c r="B912" t="s">
        <v>826</v>
      </c>
      <c r="C912" s="2">
        <f>HYPERLINK("https://szao.dolgi.msk.ru/account/3470242331/", 3470242331)</f>
        <v>3470242331</v>
      </c>
      <c r="D912" t="s">
        <v>29</v>
      </c>
      <c r="E912">
        <v>7320.65</v>
      </c>
      <c r="AX912">
        <v>3.84</v>
      </c>
      <c r="AY912">
        <v>2.72</v>
      </c>
      <c r="AZ912" t="s">
        <v>40</v>
      </c>
      <c r="BA912" t="s">
        <v>49</v>
      </c>
      <c r="BB912">
        <v>7320.65</v>
      </c>
      <c r="BC912">
        <v>7320.65</v>
      </c>
      <c r="BD912">
        <v>7320.65</v>
      </c>
      <c r="BE912">
        <v>7320.65</v>
      </c>
      <c r="BF912">
        <v>6963.5</v>
      </c>
      <c r="BG912">
        <v>2370.14</v>
      </c>
      <c r="BH912">
        <v>172.13</v>
      </c>
      <c r="BI912">
        <v>317.26</v>
      </c>
      <c r="BJ912">
        <v>91.23</v>
      </c>
      <c r="BK912">
        <v>199.78</v>
      </c>
      <c r="BL912">
        <v>3563.81</v>
      </c>
      <c r="BM912">
        <v>606.29999999999995</v>
      </c>
      <c r="BN912">
        <v>2348.12</v>
      </c>
      <c r="BP912" s="3">
        <v>45697</v>
      </c>
      <c r="BQ912">
        <v>2337.8000000000002</v>
      </c>
      <c r="BR912" s="3">
        <v>45509</v>
      </c>
      <c r="BS912" t="s">
        <v>1078</v>
      </c>
    </row>
    <row r="913" spans="1:71" x14ac:dyDescent="0.25">
      <c r="A913" t="s">
        <v>1071</v>
      </c>
      <c r="B913" t="s">
        <v>518</v>
      </c>
      <c r="C913" s="2">
        <f>HYPERLINK("https://szao.dolgi.msk.ru/account/3470242534/", 3470242534)</f>
        <v>3470242534</v>
      </c>
      <c r="D913" t="s">
        <v>29</v>
      </c>
      <c r="E913">
        <v>5083.03</v>
      </c>
      <c r="AX913">
        <v>2.34</v>
      </c>
      <c r="AY913">
        <v>1</v>
      </c>
      <c r="AZ913" t="s">
        <v>30</v>
      </c>
      <c r="BA913" t="s">
        <v>31</v>
      </c>
      <c r="BB913">
        <v>5083.03</v>
      </c>
      <c r="BC913">
        <v>5083.03</v>
      </c>
      <c r="BD913">
        <v>5083.03</v>
      </c>
      <c r="BE913">
        <v>5083.03</v>
      </c>
      <c r="BF913">
        <v>13626.33</v>
      </c>
      <c r="BG913">
        <v>1535.66</v>
      </c>
      <c r="BH913">
        <v>179.4</v>
      </c>
      <c r="BI913">
        <v>637.02</v>
      </c>
      <c r="BJ913">
        <v>179.4</v>
      </c>
      <c r="BK913">
        <v>275.45999999999998</v>
      </c>
      <c r="BL913">
        <v>1945.25</v>
      </c>
      <c r="BM913">
        <v>330.84</v>
      </c>
      <c r="BN913">
        <v>13626.33</v>
      </c>
      <c r="BP913" s="3">
        <v>45694</v>
      </c>
      <c r="BQ913">
        <v>13626.33</v>
      </c>
      <c r="BR913" s="3">
        <v>45525</v>
      </c>
      <c r="BS913" t="s">
        <v>1079</v>
      </c>
    </row>
    <row r="914" spans="1:71" x14ac:dyDescent="0.25">
      <c r="A914" t="s">
        <v>1071</v>
      </c>
      <c r="B914" t="s">
        <v>459</v>
      </c>
      <c r="C914" s="2">
        <f>HYPERLINK("https://szao.dolgi.msk.ru/account/3470242569/", 3470242569)</f>
        <v>3470242569</v>
      </c>
      <c r="D914" t="s">
        <v>29</v>
      </c>
      <c r="E914">
        <v>44628.800000000003</v>
      </c>
      <c r="AX914">
        <v>6.56</v>
      </c>
      <c r="AY914">
        <v>5.36</v>
      </c>
      <c r="AZ914" t="s">
        <v>69</v>
      </c>
      <c r="BA914" t="s">
        <v>66</v>
      </c>
      <c r="BB914">
        <v>44628.800000000003</v>
      </c>
      <c r="BC914">
        <v>44628.800000000003</v>
      </c>
      <c r="BD914">
        <v>44628.800000000003</v>
      </c>
      <c r="BE914">
        <v>44628.800000000003</v>
      </c>
      <c r="BF914">
        <v>36307.199999999997</v>
      </c>
      <c r="BG914">
        <v>6265.67</v>
      </c>
      <c r="BH914">
        <v>4976.57</v>
      </c>
      <c r="BI914">
        <v>12090.65</v>
      </c>
      <c r="BJ914">
        <v>3405</v>
      </c>
      <c r="BK914">
        <v>6434.76</v>
      </c>
      <c r="BL914">
        <v>9790.9500000000007</v>
      </c>
      <c r="BM914">
        <v>1665.2</v>
      </c>
      <c r="BP914" s="3">
        <v>45553</v>
      </c>
      <c r="BQ914">
        <v>65274.51</v>
      </c>
      <c r="BR914" s="3">
        <v>45568</v>
      </c>
      <c r="BS914" t="s">
        <v>1080</v>
      </c>
    </row>
    <row r="915" spans="1:71" x14ac:dyDescent="0.25">
      <c r="A915" t="s">
        <v>1071</v>
      </c>
      <c r="B915" t="s">
        <v>1081</v>
      </c>
      <c r="C915" s="2">
        <f>HYPERLINK("https://szao.dolgi.msk.ru/account/3470242729/", 3470242729)</f>
        <v>3470242729</v>
      </c>
      <c r="D915" t="s">
        <v>29</v>
      </c>
      <c r="E915">
        <v>53506.51</v>
      </c>
      <c r="AX915">
        <v>9.15</v>
      </c>
      <c r="AY915">
        <v>8.93</v>
      </c>
      <c r="AZ915" t="s">
        <v>40</v>
      </c>
      <c r="BA915" t="s">
        <v>63</v>
      </c>
      <c r="BB915">
        <v>53506.51</v>
      </c>
      <c r="BC915">
        <v>53506.51</v>
      </c>
      <c r="BD915">
        <v>53506.51</v>
      </c>
      <c r="BE915">
        <v>53506.51</v>
      </c>
      <c r="BF915">
        <v>78911.929999999993</v>
      </c>
      <c r="BG915">
        <v>11897.46</v>
      </c>
      <c r="BH915">
        <v>3547.86</v>
      </c>
      <c r="BI915">
        <v>8781.7199999999993</v>
      </c>
      <c r="BJ915">
        <v>2467.54</v>
      </c>
      <c r="BK915">
        <v>4617.93</v>
      </c>
      <c r="BL915">
        <v>18942.3</v>
      </c>
      <c r="BM915">
        <v>3251.7</v>
      </c>
      <c r="BN915">
        <v>31400.25</v>
      </c>
      <c r="BP915" s="3">
        <v>45697</v>
      </c>
      <c r="BQ915">
        <v>31400.25</v>
      </c>
      <c r="BR915" s="3">
        <v>45496</v>
      </c>
      <c r="BS915" t="s">
        <v>1082</v>
      </c>
    </row>
    <row r="916" spans="1:71" x14ac:dyDescent="0.25">
      <c r="A916" t="s">
        <v>1071</v>
      </c>
      <c r="B916" t="s">
        <v>1083</v>
      </c>
      <c r="C916" s="2">
        <f>HYPERLINK("https://szao.dolgi.msk.ru/account/3470242876/", 3470242876)</f>
        <v>3470242876</v>
      </c>
      <c r="D916" t="s">
        <v>29</v>
      </c>
      <c r="E916">
        <v>40194.79</v>
      </c>
      <c r="AX916">
        <v>6.45</v>
      </c>
      <c r="AY916">
        <v>6.6</v>
      </c>
      <c r="AZ916" t="s">
        <v>45</v>
      </c>
      <c r="BA916" t="s">
        <v>66</v>
      </c>
      <c r="BB916">
        <v>40194.79</v>
      </c>
      <c r="BC916">
        <v>40194.79</v>
      </c>
      <c r="BD916">
        <v>40194.79</v>
      </c>
      <c r="BE916">
        <v>40194.79</v>
      </c>
      <c r="BF916">
        <v>34106.99</v>
      </c>
      <c r="BG916">
        <v>11763.39</v>
      </c>
      <c r="BH916">
        <v>1194.19</v>
      </c>
      <c r="BI916">
        <v>3142.68</v>
      </c>
      <c r="BJ916">
        <v>866.25</v>
      </c>
      <c r="BK916">
        <v>1593.17</v>
      </c>
      <c r="BL916">
        <v>18423.2</v>
      </c>
      <c r="BM916">
        <v>3211.91</v>
      </c>
      <c r="BP916" s="3">
        <v>45371</v>
      </c>
      <c r="BQ916">
        <v>2517.13</v>
      </c>
    </row>
    <row r="917" spans="1:71" x14ac:dyDescent="0.25">
      <c r="A917" t="s">
        <v>1071</v>
      </c>
      <c r="B917" t="s">
        <v>1084</v>
      </c>
      <c r="C917" s="2">
        <f>HYPERLINK("https://szao.dolgi.msk.ru/account/3470242884/", 3470242884)</f>
        <v>3470242884</v>
      </c>
      <c r="D917" t="s">
        <v>29</v>
      </c>
      <c r="E917">
        <v>52066.3</v>
      </c>
      <c r="AX917">
        <v>8.92</v>
      </c>
      <c r="AY917">
        <v>9.02</v>
      </c>
      <c r="AZ917" t="s">
        <v>30</v>
      </c>
      <c r="BA917" t="s">
        <v>66</v>
      </c>
      <c r="BB917">
        <v>52066.3</v>
      </c>
      <c r="BC917">
        <v>52066.3</v>
      </c>
      <c r="BD917">
        <v>52066.3</v>
      </c>
      <c r="BE917">
        <v>52066.3</v>
      </c>
      <c r="BF917">
        <v>46291.23</v>
      </c>
      <c r="BG917">
        <v>11200.71</v>
      </c>
      <c r="BH917">
        <v>3778.04</v>
      </c>
      <c r="BI917">
        <v>9502.98</v>
      </c>
      <c r="BJ917">
        <v>2584.96</v>
      </c>
      <c r="BK917">
        <v>4938.67</v>
      </c>
      <c r="BL917">
        <v>17004.72</v>
      </c>
      <c r="BM917">
        <v>3056.22</v>
      </c>
      <c r="BN917">
        <v>16314.48</v>
      </c>
      <c r="BP917" s="3">
        <v>45678</v>
      </c>
      <c r="BQ917">
        <v>16314.48</v>
      </c>
      <c r="BR917" s="3">
        <v>45502</v>
      </c>
      <c r="BS917" t="s">
        <v>1085</v>
      </c>
    </row>
    <row r="918" spans="1:71" x14ac:dyDescent="0.25">
      <c r="A918" t="s">
        <v>1086</v>
      </c>
      <c r="B918" t="s">
        <v>413</v>
      </c>
      <c r="C918" s="2">
        <f>HYPERLINK("https://szao.dolgi.msk.ru/account/3470311114/", 3470311114)</f>
        <v>3470311114</v>
      </c>
      <c r="D918" t="s">
        <v>29</v>
      </c>
      <c r="E918">
        <v>7212.85</v>
      </c>
      <c r="AX918">
        <v>3.32</v>
      </c>
      <c r="AY918">
        <v>3.09</v>
      </c>
      <c r="AZ918" t="s">
        <v>35</v>
      </c>
      <c r="BA918" t="s">
        <v>49</v>
      </c>
      <c r="BB918">
        <v>7212.85</v>
      </c>
      <c r="BC918">
        <v>7212.85</v>
      </c>
      <c r="BD918">
        <v>7795.64</v>
      </c>
      <c r="BE918">
        <v>7795.64</v>
      </c>
      <c r="BF918">
        <v>4875.58</v>
      </c>
      <c r="BG918">
        <v>2766.48</v>
      </c>
      <c r="BH918">
        <v>-358.74</v>
      </c>
      <c r="BI918">
        <v>0</v>
      </c>
      <c r="BJ918">
        <v>0</v>
      </c>
      <c r="BK918">
        <v>-224.05</v>
      </c>
      <c r="BL918">
        <v>4445.43</v>
      </c>
      <c r="BM918">
        <v>583.73</v>
      </c>
      <c r="BN918">
        <v>2122.88</v>
      </c>
      <c r="BP918" s="3">
        <v>45673</v>
      </c>
      <c r="BQ918">
        <v>2122.88</v>
      </c>
      <c r="BR918" s="3">
        <v>45569</v>
      </c>
      <c r="BS918" t="s">
        <v>1087</v>
      </c>
    </row>
    <row r="919" spans="1:71" x14ac:dyDescent="0.25">
      <c r="A919" t="s">
        <v>1086</v>
      </c>
      <c r="B919" t="s">
        <v>106</v>
      </c>
      <c r="C919" s="2">
        <f>HYPERLINK("https://szao.dolgi.msk.ru/account/3470311157/", 3470311157)</f>
        <v>3470311157</v>
      </c>
      <c r="D919" t="s">
        <v>29</v>
      </c>
      <c r="E919">
        <v>45049.440000000002</v>
      </c>
      <c r="AX919">
        <v>10.15</v>
      </c>
      <c r="AY919">
        <v>10.19</v>
      </c>
      <c r="AZ919" t="s">
        <v>35</v>
      </c>
      <c r="BA919" t="s">
        <v>63</v>
      </c>
      <c r="BB919">
        <v>45049.440000000002</v>
      </c>
      <c r="BC919">
        <v>45049.440000000002</v>
      </c>
      <c r="BD919">
        <v>45049.440000000002</v>
      </c>
      <c r="BE919">
        <v>45049.440000000002</v>
      </c>
      <c r="BF919">
        <v>45049.440000000002</v>
      </c>
      <c r="BG919">
        <v>1120.17</v>
      </c>
      <c r="BH919">
        <v>13170.26</v>
      </c>
      <c r="BI919">
        <v>0</v>
      </c>
      <c r="BJ919">
        <v>0</v>
      </c>
      <c r="BK919">
        <v>8139.43</v>
      </c>
      <c r="BL919">
        <v>18081.63</v>
      </c>
      <c r="BM919">
        <v>4537.95</v>
      </c>
      <c r="BO919">
        <v>4421.33</v>
      </c>
      <c r="BP919" s="3">
        <v>45692</v>
      </c>
      <c r="BQ919">
        <v>4421.33</v>
      </c>
      <c r="BR919" s="3">
        <v>45258</v>
      </c>
      <c r="BS919" t="s">
        <v>1088</v>
      </c>
    </row>
    <row r="920" spans="1:71" x14ac:dyDescent="0.25">
      <c r="A920" t="s">
        <v>1086</v>
      </c>
      <c r="B920" t="s">
        <v>473</v>
      </c>
      <c r="C920" s="2">
        <f>HYPERLINK("https://szao.dolgi.msk.ru/account/3470244847/", 3470244847)</f>
        <v>3470244847</v>
      </c>
      <c r="D920" t="s">
        <v>29</v>
      </c>
      <c r="E920">
        <v>518275.27</v>
      </c>
      <c r="AX920">
        <v>28.76</v>
      </c>
      <c r="AY920">
        <v>25.51</v>
      </c>
      <c r="AZ920" t="s">
        <v>69</v>
      </c>
      <c r="BA920" t="s">
        <v>36</v>
      </c>
      <c r="BB920">
        <v>518275.27</v>
      </c>
      <c r="BC920">
        <v>518275.27</v>
      </c>
      <c r="BD920">
        <v>518275.27</v>
      </c>
      <c r="BE920">
        <v>518275.27</v>
      </c>
      <c r="BF920">
        <v>497954.98</v>
      </c>
      <c r="BG920">
        <v>46893.279999999999</v>
      </c>
      <c r="BH920">
        <v>221250.62</v>
      </c>
      <c r="BI920">
        <v>0</v>
      </c>
      <c r="BJ920">
        <v>0</v>
      </c>
      <c r="BK920">
        <v>151654.07</v>
      </c>
      <c r="BL920">
        <v>89209.49</v>
      </c>
      <c r="BM920">
        <v>9267.81</v>
      </c>
      <c r="BP920" s="3">
        <v>45596</v>
      </c>
      <c r="BQ920">
        <v>0</v>
      </c>
      <c r="BR920" s="3">
        <v>45642</v>
      </c>
      <c r="BS920" t="s">
        <v>1089</v>
      </c>
    </row>
    <row r="921" spans="1:71" x14ac:dyDescent="0.25">
      <c r="A921" t="s">
        <v>1086</v>
      </c>
      <c r="B921" t="s">
        <v>87</v>
      </c>
      <c r="C921" s="2">
        <f>HYPERLINK("https://szao.dolgi.msk.ru/account/3470244855/", 3470244855)</f>
        <v>3470244855</v>
      </c>
      <c r="D921" t="s">
        <v>29</v>
      </c>
      <c r="E921">
        <v>19520.27</v>
      </c>
      <c r="AX921">
        <v>2.14</v>
      </c>
      <c r="AY921">
        <v>1.95</v>
      </c>
      <c r="AZ921" t="s">
        <v>40</v>
      </c>
      <c r="BA921" t="s">
        <v>31</v>
      </c>
      <c r="BB921">
        <v>19520.27</v>
      </c>
      <c r="BC921">
        <v>19520.27</v>
      </c>
      <c r="BD921">
        <v>19520.27</v>
      </c>
      <c r="BE921">
        <v>19520.27</v>
      </c>
      <c r="BF921">
        <v>9531.11</v>
      </c>
      <c r="BG921">
        <v>2551.71</v>
      </c>
      <c r="BH921">
        <v>7011.32</v>
      </c>
      <c r="BI921">
        <v>0</v>
      </c>
      <c r="BJ921">
        <v>0</v>
      </c>
      <c r="BK921">
        <v>5382.78</v>
      </c>
      <c r="BL921">
        <v>3950.92</v>
      </c>
      <c r="BM921">
        <v>623.54</v>
      </c>
      <c r="BP921" s="3">
        <v>45642</v>
      </c>
      <c r="BQ921">
        <v>8955.74</v>
      </c>
    </row>
    <row r="922" spans="1:71" x14ac:dyDescent="0.25">
      <c r="A922" t="s">
        <v>1086</v>
      </c>
      <c r="B922" t="s">
        <v>247</v>
      </c>
      <c r="C922" s="2">
        <f>HYPERLINK("https://szao.dolgi.msk.ru/account/3470244927/", 3470244927)</f>
        <v>3470244927</v>
      </c>
      <c r="D922" t="s">
        <v>29</v>
      </c>
      <c r="E922">
        <v>50295.71</v>
      </c>
      <c r="AX922">
        <v>5.04</v>
      </c>
      <c r="AY922">
        <v>5.0199999999999996</v>
      </c>
      <c r="AZ922" t="s">
        <v>40</v>
      </c>
      <c r="BA922" t="s">
        <v>49</v>
      </c>
      <c r="BB922">
        <v>50295.71</v>
      </c>
      <c r="BC922">
        <v>50295.71</v>
      </c>
      <c r="BD922">
        <v>50295.71</v>
      </c>
      <c r="BE922">
        <v>50295.71</v>
      </c>
      <c r="BF922">
        <v>49949.75</v>
      </c>
      <c r="BG922">
        <v>6914.87</v>
      </c>
      <c r="BH922">
        <v>16904.939999999999</v>
      </c>
      <c r="BI922">
        <v>0</v>
      </c>
      <c r="BJ922">
        <v>0</v>
      </c>
      <c r="BK922">
        <v>13045.77</v>
      </c>
      <c r="BL922">
        <v>11548.06</v>
      </c>
      <c r="BM922">
        <v>1882.07</v>
      </c>
      <c r="BN922">
        <v>9669.5499999999993</v>
      </c>
      <c r="BP922" s="3">
        <v>45692</v>
      </c>
      <c r="BQ922">
        <v>9669.5499999999993</v>
      </c>
      <c r="BR922" s="3">
        <v>45475</v>
      </c>
      <c r="BS922" t="s">
        <v>1090</v>
      </c>
    </row>
    <row r="923" spans="1:71" x14ac:dyDescent="0.25">
      <c r="A923" t="s">
        <v>1086</v>
      </c>
      <c r="B923" t="s">
        <v>354</v>
      </c>
      <c r="C923" s="2">
        <f>HYPERLINK("https://szao.dolgi.msk.ru/account/3470245081/", 3470245081)</f>
        <v>3470245081</v>
      </c>
      <c r="D923" t="s">
        <v>29</v>
      </c>
      <c r="E923">
        <v>190190.77</v>
      </c>
      <c r="AX923">
        <v>15.65</v>
      </c>
      <c r="AY923">
        <v>14.46</v>
      </c>
      <c r="AZ923" t="s">
        <v>40</v>
      </c>
      <c r="BA923" t="s">
        <v>36</v>
      </c>
      <c r="BB923">
        <v>190190.77</v>
      </c>
      <c r="BC923">
        <v>190190.77</v>
      </c>
      <c r="BD923">
        <v>190190.77</v>
      </c>
      <c r="BE923">
        <v>190190.77</v>
      </c>
      <c r="BF923">
        <v>177039.08</v>
      </c>
      <c r="BG923">
        <v>23993.13</v>
      </c>
      <c r="BH923">
        <v>71836.41</v>
      </c>
      <c r="BI923">
        <v>0</v>
      </c>
      <c r="BJ923">
        <v>0</v>
      </c>
      <c r="BK923">
        <v>58566.03</v>
      </c>
      <c r="BL923">
        <v>28586.66</v>
      </c>
      <c r="BM923">
        <v>7208.54</v>
      </c>
      <c r="BN923">
        <v>3976.15</v>
      </c>
      <c r="BP923" s="3">
        <v>45682</v>
      </c>
      <c r="BQ923">
        <v>3976.15</v>
      </c>
      <c r="BR923" s="3">
        <v>45672</v>
      </c>
      <c r="BS923" t="s">
        <v>1091</v>
      </c>
    </row>
    <row r="924" spans="1:71" x14ac:dyDescent="0.25">
      <c r="A924" t="s">
        <v>1086</v>
      </c>
      <c r="B924" t="s">
        <v>131</v>
      </c>
      <c r="C924" s="2">
        <f>HYPERLINK("https://szao.dolgi.msk.ru/account/3470311237/", 3470311237)</f>
        <v>3470311237</v>
      </c>
      <c r="D924" t="s">
        <v>29</v>
      </c>
      <c r="E924">
        <v>71639.53</v>
      </c>
      <c r="AX924">
        <v>30.5</v>
      </c>
      <c r="AY924">
        <v>32.99</v>
      </c>
      <c r="AZ924" t="s">
        <v>56</v>
      </c>
      <c r="BA924" t="s">
        <v>36</v>
      </c>
      <c r="BB924">
        <v>71639.53</v>
      </c>
      <c r="BC924">
        <v>71639.53</v>
      </c>
      <c r="BD924">
        <v>71639.53</v>
      </c>
      <c r="BE924">
        <v>71639.53</v>
      </c>
      <c r="BF924">
        <v>69467.710000000006</v>
      </c>
      <c r="BG924">
        <v>9188.76</v>
      </c>
      <c r="BH924">
        <v>17233.759999999998</v>
      </c>
      <c r="BI924">
        <v>0</v>
      </c>
      <c r="BJ924">
        <v>0</v>
      </c>
      <c r="BK924">
        <v>14582.68</v>
      </c>
      <c r="BL924">
        <v>25604.31</v>
      </c>
      <c r="BM924">
        <v>5030.0200000000004</v>
      </c>
      <c r="BP924" s="3">
        <v>45653</v>
      </c>
      <c r="BQ924">
        <v>491.24</v>
      </c>
      <c r="BR924" s="3">
        <v>45538</v>
      </c>
      <c r="BS924" t="s">
        <v>1092</v>
      </c>
    </row>
    <row r="925" spans="1:71" x14ac:dyDescent="0.25">
      <c r="A925" t="s">
        <v>1086</v>
      </c>
      <c r="B925" t="s">
        <v>108</v>
      </c>
      <c r="C925" s="2">
        <f>HYPERLINK("https://szao.dolgi.msk.ru/account/3470311288/", 3470311288)</f>
        <v>3470311288</v>
      </c>
      <c r="D925" t="s">
        <v>29</v>
      </c>
      <c r="E925">
        <v>8461.73</v>
      </c>
      <c r="AX925">
        <v>5.42</v>
      </c>
      <c r="AY925">
        <v>5.94</v>
      </c>
      <c r="AZ925" t="s">
        <v>40</v>
      </c>
      <c r="BA925" t="s">
        <v>49</v>
      </c>
      <c r="BB925">
        <v>8461.73</v>
      </c>
      <c r="BC925">
        <v>8461.73</v>
      </c>
      <c r="BD925">
        <v>8461.73</v>
      </c>
      <c r="BE925">
        <v>8461.73</v>
      </c>
      <c r="BF925">
        <v>7036.26</v>
      </c>
      <c r="BG925">
        <v>1232.22</v>
      </c>
      <c r="BH925">
        <v>2754.74</v>
      </c>
      <c r="BI925">
        <v>0</v>
      </c>
      <c r="BJ925">
        <v>0</v>
      </c>
      <c r="BK925">
        <v>2141.9299999999998</v>
      </c>
      <c r="BL925">
        <v>1993.78</v>
      </c>
      <c r="BM925">
        <v>339.06</v>
      </c>
      <c r="BP925" s="3">
        <v>45622</v>
      </c>
      <c r="BQ925">
        <v>2598.15</v>
      </c>
      <c r="BR925" s="3">
        <v>45672</v>
      </c>
      <c r="BS925" t="s">
        <v>1093</v>
      </c>
    </row>
    <row r="926" spans="1:71" x14ac:dyDescent="0.25">
      <c r="A926" t="s">
        <v>1086</v>
      </c>
      <c r="B926" t="s">
        <v>108</v>
      </c>
      <c r="C926" s="2">
        <f>HYPERLINK("https://szao.dolgi.msk.ru/account/3470311317/", 3470311317)</f>
        <v>3470311317</v>
      </c>
      <c r="D926" t="s">
        <v>29</v>
      </c>
      <c r="E926">
        <v>14088.12</v>
      </c>
      <c r="AX926">
        <v>7.61</v>
      </c>
      <c r="AY926">
        <v>8.1999999999999993</v>
      </c>
      <c r="AZ926" t="s">
        <v>40</v>
      </c>
      <c r="BA926" t="s">
        <v>66</v>
      </c>
      <c r="BB926">
        <v>14088.12</v>
      </c>
      <c r="BC926">
        <v>14088.12</v>
      </c>
      <c r="BD926">
        <v>14088.12</v>
      </c>
      <c r="BE926">
        <v>14088.12</v>
      </c>
      <c r="BF926">
        <v>12370.57</v>
      </c>
      <c r="BG926">
        <v>2959.5</v>
      </c>
      <c r="BH926">
        <v>3151.31</v>
      </c>
      <c r="BI926">
        <v>0</v>
      </c>
      <c r="BJ926">
        <v>0</v>
      </c>
      <c r="BK926">
        <v>2462.94</v>
      </c>
      <c r="BL926">
        <v>4717.63</v>
      </c>
      <c r="BM926">
        <v>796.74</v>
      </c>
      <c r="BP926" s="3">
        <v>45635</v>
      </c>
      <c r="BQ926">
        <v>2304.8200000000002</v>
      </c>
      <c r="BR926" s="3">
        <v>45475</v>
      </c>
      <c r="BS926" t="s">
        <v>1094</v>
      </c>
    </row>
    <row r="927" spans="1:71" x14ac:dyDescent="0.25">
      <c r="A927" t="s">
        <v>1086</v>
      </c>
      <c r="B927" t="s">
        <v>108</v>
      </c>
      <c r="C927" s="2">
        <f>HYPERLINK("https://szao.dolgi.msk.ru/account/3470311499/", 3470311499)</f>
        <v>3470311499</v>
      </c>
      <c r="D927" t="s">
        <v>29</v>
      </c>
      <c r="E927">
        <v>31269.279999999999</v>
      </c>
      <c r="AX927">
        <v>5.89</v>
      </c>
      <c r="AY927">
        <v>8.24</v>
      </c>
      <c r="AZ927" t="s">
        <v>40</v>
      </c>
      <c r="BA927" t="s">
        <v>49</v>
      </c>
      <c r="BB927">
        <v>31269.279999999999</v>
      </c>
      <c r="BC927">
        <v>31269.279999999999</v>
      </c>
      <c r="BD927">
        <v>31269.279999999999</v>
      </c>
      <c r="BE927">
        <v>31269.279999999999</v>
      </c>
      <c r="BF927">
        <v>27708.19</v>
      </c>
      <c r="BG927">
        <v>2567.33</v>
      </c>
      <c r="BH927">
        <v>15648.92</v>
      </c>
      <c r="BI927">
        <v>0</v>
      </c>
      <c r="BJ927">
        <v>0</v>
      </c>
      <c r="BK927">
        <v>12281.31</v>
      </c>
      <c r="BL927">
        <v>0</v>
      </c>
      <c r="BM927">
        <v>771.72</v>
      </c>
      <c r="BO927">
        <v>3561.09</v>
      </c>
      <c r="BP927" s="3">
        <v>45681</v>
      </c>
      <c r="BQ927">
        <v>3561.09</v>
      </c>
      <c r="BR927" s="3">
        <v>44531</v>
      </c>
      <c r="BS927" t="s">
        <v>1095</v>
      </c>
    </row>
    <row r="928" spans="1:71" x14ac:dyDescent="0.25">
      <c r="A928" t="s">
        <v>1086</v>
      </c>
      <c r="B928" t="s">
        <v>108</v>
      </c>
      <c r="C928" s="2">
        <f>HYPERLINK("https://szao.dolgi.msk.ru/account/3470417082/", 3470417082)</f>
        <v>3470417082</v>
      </c>
      <c r="D928" t="s">
        <v>29</v>
      </c>
      <c r="E928">
        <v>5829.93</v>
      </c>
      <c r="AX928">
        <v>2.62</v>
      </c>
      <c r="AY928">
        <v>3.12</v>
      </c>
      <c r="AZ928" t="s">
        <v>35</v>
      </c>
      <c r="BA928" t="s">
        <v>31</v>
      </c>
      <c r="BB928">
        <v>5829.93</v>
      </c>
      <c r="BC928">
        <v>5829.93</v>
      </c>
      <c r="BD928">
        <v>5829.93</v>
      </c>
      <c r="BE928">
        <v>5829.93</v>
      </c>
      <c r="BF928">
        <v>3962.85</v>
      </c>
      <c r="BG928">
        <v>397.49</v>
      </c>
      <c r="BH928">
        <v>2652.76</v>
      </c>
      <c r="BI928">
        <v>0</v>
      </c>
      <c r="BJ928">
        <v>0</v>
      </c>
      <c r="BK928">
        <v>2081.92</v>
      </c>
      <c r="BL928">
        <v>586.19000000000005</v>
      </c>
      <c r="BM928">
        <v>111.57</v>
      </c>
      <c r="BO928">
        <v>1867.08</v>
      </c>
      <c r="BP928" s="3">
        <v>45684</v>
      </c>
      <c r="BQ928">
        <v>1867.08</v>
      </c>
    </row>
    <row r="929" spans="1:71" x14ac:dyDescent="0.25">
      <c r="A929" t="s">
        <v>1086</v>
      </c>
      <c r="B929" t="s">
        <v>241</v>
      </c>
      <c r="C929" s="2">
        <f>HYPERLINK("https://szao.dolgi.msk.ru/account/3470311245/", 3470311245)</f>
        <v>3470311245</v>
      </c>
      <c r="D929" t="s">
        <v>29</v>
      </c>
      <c r="E929">
        <v>212875</v>
      </c>
      <c r="AX929">
        <v>33.14</v>
      </c>
      <c r="AY929">
        <v>32.700000000000003</v>
      </c>
      <c r="AZ929" t="s">
        <v>56</v>
      </c>
      <c r="BA929" t="s">
        <v>36</v>
      </c>
      <c r="BB929">
        <v>212875</v>
      </c>
      <c r="BC929">
        <v>212875</v>
      </c>
      <c r="BD929">
        <v>212875</v>
      </c>
      <c r="BE929">
        <v>212875</v>
      </c>
      <c r="BF929">
        <v>206364.2</v>
      </c>
      <c r="BG929">
        <v>45275.8</v>
      </c>
      <c r="BH929">
        <v>44750.03</v>
      </c>
      <c r="BI929">
        <v>0</v>
      </c>
      <c r="BJ929">
        <v>0</v>
      </c>
      <c r="BK929">
        <v>34145.300000000003</v>
      </c>
      <c r="BL929">
        <v>78308.52</v>
      </c>
      <c r="BM929">
        <v>10395.35</v>
      </c>
      <c r="BP929" s="3">
        <v>45535</v>
      </c>
      <c r="BQ929">
        <v>0</v>
      </c>
      <c r="BR929" s="3">
        <v>45625</v>
      </c>
      <c r="BS929" t="s">
        <v>1096</v>
      </c>
    </row>
    <row r="930" spans="1:71" x14ac:dyDescent="0.25">
      <c r="A930" t="s">
        <v>1086</v>
      </c>
      <c r="B930" t="s">
        <v>241</v>
      </c>
      <c r="C930" s="2">
        <f>HYPERLINK("https://szao.dolgi.msk.ru/account/3470311296/", 3470311296)</f>
        <v>3470311296</v>
      </c>
      <c r="D930" t="s">
        <v>29</v>
      </c>
      <c r="E930">
        <v>30079.86</v>
      </c>
      <c r="AX930">
        <v>8.74</v>
      </c>
      <c r="AY930">
        <v>6.69</v>
      </c>
      <c r="AZ930" t="s">
        <v>40</v>
      </c>
      <c r="BA930" t="s">
        <v>66</v>
      </c>
      <c r="BB930">
        <v>30079.86</v>
      </c>
      <c r="BC930">
        <v>30079.86</v>
      </c>
      <c r="BD930">
        <v>30079.86</v>
      </c>
      <c r="BE930">
        <v>30079.86</v>
      </c>
      <c r="BF930">
        <v>25581.81</v>
      </c>
      <c r="BG930">
        <v>4350.5600000000004</v>
      </c>
      <c r="BH930">
        <v>9544.8799999999992</v>
      </c>
      <c r="BI930">
        <v>0</v>
      </c>
      <c r="BJ930">
        <v>0</v>
      </c>
      <c r="BK930">
        <v>6946.5</v>
      </c>
      <c r="BL930">
        <v>8637.14</v>
      </c>
      <c r="BM930">
        <v>600.78</v>
      </c>
      <c r="BN930">
        <v>4026.88</v>
      </c>
      <c r="BP930" s="3">
        <v>45674</v>
      </c>
      <c r="BQ930">
        <v>4026.88</v>
      </c>
      <c r="BR930" s="3">
        <v>45509</v>
      </c>
      <c r="BS930" t="s">
        <v>1097</v>
      </c>
    </row>
    <row r="931" spans="1:71" x14ac:dyDescent="0.25">
      <c r="A931" t="s">
        <v>1086</v>
      </c>
      <c r="B931" t="s">
        <v>241</v>
      </c>
      <c r="C931" s="2">
        <f>HYPERLINK("https://szao.dolgi.msk.ru/account/3470311392/", 3470311392)</f>
        <v>3470311392</v>
      </c>
      <c r="D931" t="s">
        <v>29</v>
      </c>
      <c r="E931">
        <v>7650.84</v>
      </c>
      <c r="AX931">
        <v>5.16</v>
      </c>
      <c r="AY931">
        <v>5.68</v>
      </c>
      <c r="AZ931" t="s">
        <v>30</v>
      </c>
      <c r="BA931" t="s">
        <v>49</v>
      </c>
      <c r="BB931">
        <v>7650.84</v>
      </c>
      <c r="BC931">
        <v>7650.84</v>
      </c>
      <c r="BD931">
        <v>7650.84</v>
      </c>
      <c r="BE931">
        <v>7650.84</v>
      </c>
      <c r="BF931">
        <v>6304.89</v>
      </c>
      <c r="BG931">
        <v>1715.91</v>
      </c>
      <c r="BH931">
        <v>1507.15</v>
      </c>
      <c r="BI931">
        <v>0</v>
      </c>
      <c r="BJ931">
        <v>0</v>
      </c>
      <c r="BK931">
        <v>1182.81</v>
      </c>
      <c r="BL931">
        <v>2796.11</v>
      </c>
      <c r="BM931">
        <v>448.86</v>
      </c>
      <c r="BP931" s="3">
        <v>45621</v>
      </c>
      <c r="BQ931">
        <v>2444.96</v>
      </c>
      <c r="BR931" s="3">
        <v>45502</v>
      </c>
      <c r="BS931" t="s">
        <v>1098</v>
      </c>
    </row>
    <row r="932" spans="1:71" x14ac:dyDescent="0.25">
      <c r="A932" t="s">
        <v>1086</v>
      </c>
      <c r="B932" t="s">
        <v>203</v>
      </c>
      <c r="C932" s="2">
        <f>HYPERLINK("https://szao.dolgi.msk.ru/account/3470311464/", 3470311464)</f>
        <v>3470311464</v>
      </c>
      <c r="D932" t="s">
        <v>29</v>
      </c>
      <c r="E932">
        <v>258378.32</v>
      </c>
      <c r="AX932">
        <v>12.27</v>
      </c>
      <c r="AY932">
        <v>12.66</v>
      </c>
      <c r="AZ932" t="s">
        <v>35</v>
      </c>
      <c r="BA932" t="s">
        <v>36</v>
      </c>
      <c r="BB932">
        <v>258378.32</v>
      </c>
      <c r="BC932">
        <v>258378.32</v>
      </c>
      <c r="BD932">
        <v>258378.32</v>
      </c>
      <c r="BE932">
        <v>258378.32</v>
      </c>
      <c r="BF932">
        <v>237963.02</v>
      </c>
      <c r="BG932">
        <v>34200.379999999997</v>
      </c>
      <c r="BH932">
        <v>90078.35</v>
      </c>
      <c r="BI932">
        <v>0</v>
      </c>
      <c r="BJ932">
        <v>0</v>
      </c>
      <c r="BK932">
        <v>67952.69</v>
      </c>
      <c r="BL932">
        <v>60594.48</v>
      </c>
      <c r="BM932">
        <v>5552.42</v>
      </c>
      <c r="BO932">
        <v>20415.3</v>
      </c>
      <c r="BP932" s="3">
        <v>45679</v>
      </c>
      <c r="BQ932">
        <v>20415.3</v>
      </c>
      <c r="BR932" s="3">
        <v>45271</v>
      </c>
      <c r="BS932" t="s">
        <v>1099</v>
      </c>
    </row>
    <row r="933" spans="1:71" x14ac:dyDescent="0.25">
      <c r="A933" t="s">
        <v>1100</v>
      </c>
      <c r="B933" t="s">
        <v>48</v>
      </c>
      <c r="C933" s="2">
        <f>HYPERLINK("https://szao.dolgi.msk.ru/account/3470568112/", 3470568112)</f>
        <v>3470568112</v>
      </c>
      <c r="D933" t="s">
        <v>29</v>
      </c>
      <c r="E933">
        <v>134706.26999999999</v>
      </c>
      <c r="AX933">
        <v>32.1</v>
      </c>
      <c r="AY933">
        <v>32.78</v>
      </c>
      <c r="AZ933" t="s">
        <v>45</v>
      </c>
      <c r="BA933" t="s">
        <v>36</v>
      </c>
      <c r="BB933">
        <v>134706.26999999999</v>
      </c>
      <c r="BC933">
        <v>134706.26999999999</v>
      </c>
      <c r="BD933">
        <v>134706.26999999999</v>
      </c>
      <c r="BE933">
        <v>134706.26999999999</v>
      </c>
      <c r="BF933">
        <v>130596.4</v>
      </c>
      <c r="BG933">
        <v>64686.02</v>
      </c>
      <c r="BH933">
        <v>302.16000000000003</v>
      </c>
      <c r="BI933">
        <v>797.63</v>
      </c>
      <c r="BJ933">
        <v>206.74</v>
      </c>
      <c r="BK933">
        <v>373.99</v>
      </c>
      <c r="BL933">
        <v>53630</v>
      </c>
      <c r="BM933">
        <v>14709.73</v>
      </c>
      <c r="BP933" s="3">
        <v>45461</v>
      </c>
      <c r="BQ933">
        <v>3288.92</v>
      </c>
      <c r="BR933" s="3">
        <v>45694</v>
      </c>
      <c r="BS933" t="s">
        <v>128</v>
      </c>
    </row>
    <row r="934" spans="1:71" x14ac:dyDescent="0.25">
      <c r="A934" t="s">
        <v>1100</v>
      </c>
      <c r="B934" t="s">
        <v>80</v>
      </c>
      <c r="C934" s="2">
        <f>HYPERLINK("https://szao.dolgi.msk.ru/account/3470568139/", 3470568139)</f>
        <v>3470568139</v>
      </c>
      <c r="D934" t="s">
        <v>29</v>
      </c>
      <c r="E934">
        <v>317107.53999999998</v>
      </c>
      <c r="AX934">
        <v>23.24</v>
      </c>
      <c r="AY934">
        <v>26.86</v>
      </c>
      <c r="AZ934" t="s">
        <v>56</v>
      </c>
      <c r="BA934" t="s">
        <v>36</v>
      </c>
      <c r="BB934">
        <v>317107.53999999998</v>
      </c>
      <c r="BC934">
        <v>317107.53999999998</v>
      </c>
      <c r="BD934">
        <v>317107.53999999998</v>
      </c>
      <c r="BE934">
        <v>317107.53999999998</v>
      </c>
      <c r="BF934">
        <v>305300.55</v>
      </c>
      <c r="BG934">
        <v>84305.89</v>
      </c>
      <c r="BH934">
        <v>26580.06</v>
      </c>
      <c r="BI934">
        <v>65822.850000000006</v>
      </c>
      <c r="BJ934">
        <v>17676.400000000001</v>
      </c>
      <c r="BK934">
        <v>34235.32</v>
      </c>
      <c r="BL934">
        <v>69265.289999999994</v>
      </c>
      <c r="BM934">
        <v>19221.73</v>
      </c>
      <c r="BR934" s="3">
        <v>45694</v>
      </c>
      <c r="BS934" t="s">
        <v>128</v>
      </c>
    </row>
    <row r="935" spans="1:71" x14ac:dyDescent="0.25">
      <c r="A935" t="s">
        <v>1100</v>
      </c>
      <c r="B935" t="s">
        <v>127</v>
      </c>
      <c r="C935" s="2">
        <f>HYPERLINK("https://szao.dolgi.msk.ru/account/3470568171/", 3470568171)</f>
        <v>3470568171</v>
      </c>
      <c r="D935" t="s">
        <v>29</v>
      </c>
      <c r="E935">
        <v>175039.77</v>
      </c>
      <c r="AX935">
        <v>34.340000000000003</v>
      </c>
      <c r="AY935">
        <v>34.5</v>
      </c>
      <c r="AZ935" t="s">
        <v>56</v>
      </c>
      <c r="BA935" t="s">
        <v>36</v>
      </c>
      <c r="BB935">
        <v>175039.77</v>
      </c>
      <c r="BC935">
        <v>175039.77</v>
      </c>
      <c r="BD935">
        <v>175039.77</v>
      </c>
      <c r="BE935">
        <v>175039.77</v>
      </c>
      <c r="BF935">
        <v>169966.65</v>
      </c>
      <c r="BG935">
        <v>84996.49</v>
      </c>
      <c r="BH935">
        <v>302.16000000000003</v>
      </c>
      <c r="BI935">
        <v>797.63</v>
      </c>
      <c r="BJ935">
        <v>206.74</v>
      </c>
      <c r="BK935">
        <v>373.99</v>
      </c>
      <c r="BL935">
        <v>69168</v>
      </c>
      <c r="BM935">
        <v>19194.759999999998</v>
      </c>
      <c r="BR935" s="3">
        <v>45694</v>
      </c>
      <c r="BS935" t="s">
        <v>128</v>
      </c>
    </row>
    <row r="936" spans="1:71" x14ac:dyDescent="0.25">
      <c r="A936" t="s">
        <v>1100</v>
      </c>
      <c r="B936" t="s">
        <v>124</v>
      </c>
      <c r="C936" s="2">
        <f>HYPERLINK("https://szao.dolgi.msk.ru/account/3470569246/", 3470569246)</f>
        <v>3470569246</v>
      </c>
      <c r="D936" t="s">
        <v>29</v>
      </c>
      <c r="E936">
        <v>95114.82</v>
      </c>
      <c r="AX936">
        <v>34.33</v>
      </c>
      <c r="AY936">
        <v>34.619999999999997</v>
      </c>
      <c r="AZ936" t="s">
        <v>56</v>
      </c>
      <c r="BA936" t="s">
        <v>36</v>
      </c>
      <c r="BB936">
        <v>95114.82</v>
      </c>
      <c r="BC936">
        <v>95114.82</v>
      </c>
      <c r="BD936">
        <v>95114.82</v>
      </c>
      <c r="BE936">
        <v>95114.82</v>
      </c>
      <c r="BF936">
        <v>92367.77</v>
      </c>
      <c r="BG936">
        <v>45586.78</v>
      </c>
      <c r="BH936">
        <v>302.16000000000003</v>
      </c>
      <c r="BI936">
        <v>797.63</v>
      </c>
      <c r="BJ936">
        <v>206.74</v>
      </c>
      <c r="BK936">
        <v>373.99</v>
      </c>
      <c r="BL936">
        <v>37453.760000000002</v>
      </c>
      <c r="BM936">
        <v>10393.76</v>
      </c>
      <c r="BR936" s="3">
        <v>45694</v>
      </c>
      <c r="BS936" t="s">
        <v>128</v>
      </c>
    </row>
    <row r="937" spans="1:71" x14ac:dyDescent="0.25">
      <c r="A937" t="s">
        <v>1100</v>
      </c>
      <c r="B937" t="s">
        <v>235</v>
      </c>
      <c r="C937" s="2">
        <f>HYPERLINK("https://szao.dolgi.msk.ru/account/3470569545/", 3470569545)</f>
        <v>3470569545</v>
      </c>
      <c r="D937" t="s">
        <v>29</v>
      </c>
      <c r="E937">
        <v>247303.55</v>
      </c>
      <c r="AX937">
        <v>22.91</v>
      </c>
      <c r="AY937">
        <v>23.09</v>
      </c>
      <c r="AZ937" t="s">
        <v>45</v>
      </c>
      <c r="BA937" t="s">
        <v>36</v>
      </c>
      <c r="BB937">
        <v>247303.55</v>
      </c>
      <c r="BC937">
        <v>227123.33</v>
      </c>
      <c r="BD937">
        <v>247303.55</v>
      </c>
      <c r="BE937">
        <v>227123.33</v>
      </c>
      <c r="BF937">
        <v>236595.38</v>
      </c>
      <c r="BG937">
        <v>64746.86</v>
      </c>
      <c r="BH937">
        <v>20671.810000000001</v>
      </c>
      <c r="BI937">
        <v>52663.54</v>
      </c>
      <c r="BJ937">
        <v>14250.75</v>
      </c>
      <c r="BK937">
        <v>27167.25</v>
      </c>
      <c r="BL937">
        <v>53146.239999999998</v>
      </c>
      <c r="BM937">
        <v>14657.1</v>
      </c>
      <c r="BP937" s="3">
        <v>45433</v>
      </c>
      <c r="BQ937">
        <v>9425.18</v>
      </c>
    </row>
    <row r="938" spans="1:71" x14ac:dyDescent="0.25">
      <c r="A938" t="s">
        <v>1100</v>
      </c>
      <c r="B938" t="s">
        <v>635</v>
      </c>
      <c r="C938" s="2">
        <f>HYPERLINK("https://szao.dolgi.msk.ru/account/3470569641/", 3470569641)</f>
        <v>3470569641</v>
      </c>
      <c r="D938" t="s">
        <v>29</v>
      </c>
      <c r="E938">
        <v>64068.45</v>
      </c>
      <c r="AX938">
        <v>7.21</v>
      </c>
      <c r="AY938">
        <v>7.54</v>
      </c>
      <c r="AZ938" t="s">
        <v>69</v>
      </c>
      <c r="BA938" t="s">
        <v>66</v>
      </c>
      <c r="BB938">
        <v>64068.45</v>
      </c>
      <c r="BC938">
        <v>64068.45</v>
      </c>
      <c r="BD938">
        <v>64068.45</v>
      </c>
      <c r="BE938">
        <v>64068.45</v>
      </c>
      <c r="BF938">
        <v>55576.17</v>
      </c>
      <c r="BG938">
        <v>8348.1200000000008</v>
      </c>
      <c r="BH938">
        <v>7766.42</v>
      </c>
      <c r="BI938">
        <v>22248.48</v>
      </c>
      <c r="BJ938">
        <v>5886.36</v>
      </c>
      <c r="BK938">
        <v>10427.200000000001</v>
      </c>
      <c r="BL938">
        <v>7433.57</v>
      </c>
      <c r="BM938">
        <v>1958.3</v>
      </c>
      <c r="BN938">
        <v>8342.2900000000009</v>
      </c>
      <c r="BP938" s="3">
        <v>45696</v>
      </c>
      <c r="BQ938">
        <v>0.05</v>
      </c>
      <c r="BR938" s="3">
        <v>45546</v>
      </c>
      <c r="BS938" t="s">
        <v>1101</v>
      </c>
    </row>
    <row r="939" spans="1:71" x14ac:dyDescent="0.25">
      <c r="A939" t="s">
        <v>1100</v>
      </c>
      <c r="B939" t="s">
        <v>743</v>
      </c>
      <c r="C939" s="2">
        <f>HYPERLINK("https://szao.dolgi.msk.ru/account/3470596738/", 3470596738)</f>
        <v>3470596738</v>
      </c>
      <c r="D939" t="s">
        <v>29</v>
      </c>
      <c r="E939">
        <v>74795.679999999993</v>
      </c>
      <c r="AX939">
        <v>12.09</v>
      </c>
      <c r="AY939">
        <v>12.07</v>
      </c>
      <c r="AZ939" t="s">
        <v>142</v>
      </c>
      <c r="BA939" t="s">
        <v>36</v>
      </c>
      <c r="BB939">
        <v>74795.679999999993</v>
      </c>
      <c r="BC939">
        <v>74795.679999999993</v>
      </c>
      <c r="BD939">
        <v>74795.679999999993</v>
      </c>
      <c r="BE939">
        <v>74795.679999999993</v>
      </c>
      <c r="BF939">
        <v>68600.55</v>
      </c>
      <c r="BG939">
        <v>25230.42</v>
      </c>
      <c r="BH939">
        <v>4249.4799999999996</v>
      </c>
      <c r="BI939">
        <v>10748.86</v>
      </c>
      <c r="BJ939">
        <v>2944.08</v>
      </c>
      <c r="BK939">
        <v>5552.6</v>
      </c>
      <c r="BL939">
        <v>20003.560000000001</v>
      </c>
      <c r="BM939">
        <v>6066.68</v>
      </c>
      <c r="BP939" s="3">
        <v>45632</v>
      </c>
      <c r="BQ939">
        <v>38727.040000000001</v>
      </c>
      <c r="BR939" s="3">
        <v>45538</v>
      </c>
      <c r="BS939" t="s">
        <v>1102</v>
      </c>
    </row>
    <row r="940" spans="1:71" x14ac:dyDescent="0.25">
      <c r="A940" t="s">
        <v>1100</v>
      </c>
      <c r="B940" t="s">
        <v>1103</v>
      </c>
      <c r="C940" s="2">
        <f>HYPERLINK("https://szao.dolgi.msk.ru/account/3470570976/", 3470570976)</f>
        <v>3470570976</v>
      </c>
      <c r="D940" t="s">
        <v>29</v>
      </c>
      <c r="E940">
        <v>150580.01</v>
      </c>
      <c r="AX940">
        <v>29.05</v>
      </c>
      <c r="AY940">
        <v>30.09</v>
      </c>
      <c r="AZ940" t="s">
        <v>56</v>
      </c>
      <c r="BA940" t="s">
        <v>36</v>
      </c>
      <c r="BB940">
        <v>150580.01</v>
      </c>
      <c r="BC940">
        <v>150580.01</v>
      </c>
      <c r="BD940">
        <v>150580.01</v>
      </c>
      <c r="BE940">
        <v>150580.01</v>
      </c>
      <c r="BF940">
        <v>145576.46</v>
      </c>
      <c r="BG940">
        <v>46263.99</v>
      </c>
      <c r="BH940">
        <v>10137.58</v>
      </c>
      <c r="BI940">
        <v>25854.639999999999</v>
      </c>
      <c r="BJ940">
        <v>6936.18</v>
      </c>
      <c r="BK940">
        <v>13291.5</v>
      </c>
      <c r="BL940">
        <v>37648.339999999997</v>
      </c>
      <c r="BM940">
        <v>10447.780000000001</v>
      </c>
      <c r="BR940" s="3">
        <v>45427</v>
      </c>
      <c r="BS940" t="s">
        <v>1104</v>
      </c>
    </row>
    <row r="941" spans="1:71" x14ac:dyDescent="0.25">
      <c r="A941" t="s">
        <v>1100</v>
      </c>
      <c r="B941" t="s">
        <v>1105</v>
      </c>
      <c r="C941" s="2">
        <f>HYPERLINK("https://szao.dolgi.msk.ru/account/3470571557/", 3470571557)</f>
        <v>3470571557</v>
      </c>
      <c r="D941" t="s">
        <v>29</v>
      </c>
      <c r="E941">
        <v>36749.67</v>
      </c>
      <c r="AX941">
        <v>5.47</v>
      </c>
      <c r="AY941">
        <v>6.82</v>
      </c>
      <c r="AZ941" t="s">
        <v>30</v>
      </c>
      <c r="BA941" t="s">
        <v>49</v>
      </c>
      <c r="BB941">
        <v>36749.67</v>
      </c>
      <c r="BC941">
        <v>36749.67</v>
      </c>
      <c r="BD941">
        <v>36749.67</v>
      </c>
      <c r="BE941">
        <v>36749.67</v>
      </c>
      <c r="BF941">
        <v>31362.84</v>
      </c>
      <c r="BG941">
        <v>7068.23</v>
      </c>
      <c r="BH941">
        <v>4388.2700000000004</v>
      </c>
      <c r="BI941">
        <v>10355.75</v>
      </c>
      <c r="BJ941">
        <v>2749.2</v>
      </c>
      <c r="BK941">
        <v>5595.43</v>
      </c>
      <c r="BL941">
        <v>4915.47</v>
      </c>
      <c r="BM941">
        <v>1677.32</v>
      </c>
      <c r="BN941">
        <v>26366.38</v>
      </c>
      <c r="BO941">
        <v>5386.83</v>
      </c>
      <c r="BP941" s="3">
        <v>45673</v>
      </c>
      <c r="BQ941">
        <v>26366.38</v>
      </c>
    </row>
    <row r="942" spans="1:71" x14ac:dyDescent="0.25">
      <c r="A942" t="s">
        <v>1100</v>
      </c>
      <c r="B942" t="s">
        <v>1106</v>
      </c>
      <c r="C942" s="2">
        <f>HYPERLINK("https://szao.dolgi.msk.ru/account/3470606828/", 3470606828)</f>
        <v>3470606828</v>
      </c>
      <c r="D942" t="s">
        <v>29</v>
      </c>
      <c r="E942">
        <v>13099.11</v>
      </c>
      <c r="AX942">
        <v>2.8</v>
      </c>
      <c r="AY942">
        <v>2.81</v>
      </c>
      <c r="AZ942" t="s">
        <v>30</v>
      </c>
      <c r="BA942" t="s">
        <v>31</v>
      </c>
      <c r="BB942">
        <v>13099.11</v>
      </c>
      <c r="BC942">
        <v>13099.11</v>
      </c>
      <c r="BD942">
        <v>13099.11</v>
      </c>
      <c r="BE942">
        <v>13099.11</v>
      </c>
      <c r="BF942">
        <v>5306.56</v>
      </c>
      <c r="BG942">
        <v>4309.75</v>
      </c>
      <c r="BH942">
        <v>867.63</v>
      </c>
      <c r="BI942">
        <v>2386.71</v>
      </c>
      <c r="BJ942">
        <v>672.15</v>
      </c>
      <c r="BK942">
        <v>1182.1400000000001</v>
      </c>
      <c r="BL942">
        <v>2776.23</v>
      </c>
      <c r="BM942">
        <v>904.5</v>
      </c>
      <c r="BP942" s="3">
        <v>45614</v>
      </c>
      <c r="BQ942">
        <v>5409.16</v>
      </c>
      <c r="BR942" s="3">
        <v>45544</v>
      </c>
      <c r="BS942" t="s">
        <v>1107</v>
      </c>
    </row>
    <row r="943" spans="1:71" x14ac:dyDescent="0.25">
      <c r="A943" t="s">
        <v>1100</v>
      </c>
      <c r="B943" t="s">
        <v>1108</v>
      </c>
      <c r="C943" s="2">
        <f>HYPERLINK("https://szao.dolgi.msk.ru/account/3470570546/", 3470570546)</f>
        <v>3470570546</v>
      </c>
      <c r="D943" t="s">
        <v>29</v>
      </c>
      <c r="E943">
        <v>102623.94</v>
      </c>
      <c r="AX943">
        <v>34.46</v>
      </c>
      <c r="AY943">
        <v>34.74</v>
      </c>
      <c r="AZ943" t="s">
        <v>56</v>
      </c>
      <c r="BA943" t="s">
        <v>36</v>
      </c>
      <c r="BB943">
        <v>102623.94</v>
      </c>
      <c r="BC943">
        <v>102623.94</v>
      </c>
      <c r="BD943">
        <v>102623.94</v>
      </c>
      <c r="BE943">
        <v>102623.94</v>
      </c>
      <c r="BF943">
        <v>99669.97</v>
      </c>
      <c r="BG943">
        <v>49491.55</v>
      </c>
      <c r="BH943">
        <v>302.16000000000003</v>
      </c>
      <c r="BI943">
        <v>797.63</v>
      </c>
      <c r="BJ943">
        <v>206.74</v>
      </c>
      <c r="BK943">
        <v>373.99</v>
      </c>
      <c r="BL943">
        <v>40275.08</v>
      </c>
      <c r="BM943">
        <v>11176.79</v>
      </c>
      <c r="BR943" s="3">
        <v>45694</v>
      </c>
      <c r="BS943" t="s">
        <v>128</v>
      </c>
    </row>
    <row r="944" spans="1:71" x14ac:dyDescent="0.25">
      <c r="A944" t="s">
        <v>1100</v>
      </c>
      <c r="B944" t="s">
        <v>959</v>
      </c>
      <c r="C944" s="2">
        <f>HYPERLINK("https://szao.dolgi.msk.ru/account/3470599269/", 3470599269)</f>
        <v>3470599269</v>
      </c>
      <c r="D944" t="s">
        <v>29</v>
      </c>
      <c r="E944">
        <v>51404.3</v>
      </c>
      <c r="AX944">
        <v>11.14</v>
      </c>
      <c r="AY944">
        <v>12.36</v>
      </c>
      <c r="AZ944" t="s">
        <v>40</v>
      </c>
      <c r="BA944" t="s">
        <v>63</v>
      </c>
      <c r="BB944">
        <v>51404.3</v>
      </c>
      <c r="BC944">
        <v>51404.3</v>
      </c>
      <c r="BD944">
        <v>51404.3</v>
      </c>
      <c r="BE944">
        <v>51404.3</v>
      </c>
      <c r="BF944">
        <v>47244.89</v>
      </c>
      <c r="BG944">
        <v>16825.560000000001</v>
      </c>
      <c r="BH944">
        <v>2791.94</v>
      </c>
      <c r="BI944">
        <v>6350.5</v>
      </c>
      <c r="BJ944">
        <v>1668.68</v>
      </c>
      <c r="BK944">
        <v>3476.96</v>
      </c>
      <c r="BL944">
        <v>16115.5</v>
      </c>
      <c r="BM944">
        <v>4175.16</v>
      </c>
      <c r="BO944">
        <v>4159.41</v>
      </c>
      <c r="BP944" s="3">
        <v>45686</v>
      </c>
      <c r="BQ944">
        <v>4159.41</v>
      </c>
    </row>
    <row r="945" spans="1:71" x14ac:dyDescent="0.25">
      <c r="A945" t="s">
        <v>1100</v>
      </c>
      <c r="B945" t="s">
        <v>898</v>
      </c>
      <c r="C945" s="2">
        <f>HYPERLINK("https://szao.dolgi.msk.ru/account/3470570351/", 3470570351)</f>
        <v>3470570351</v>
      </c>
      <c r="D945" t="s">
        <v>29</v>
      </c>
      <c r="E945">
        <v>102867.85</v>
      </c>
      <c r="AX945">
        <v>34.46</v>
      </c>
      <c r="AY945">
        <v>34.74</v>
      </c>
      <c r="AZ945" t="s">
        <v>56</v>
      </c>
      <c r="BA945" t="s">
        <v>36</v>
      </c>
      <c r="BB945">
        <v>102867.85</v>
      </c>
      <c r="BC945">
        <v>102867.85</v>
      </c>
      <c r="BD945">
        <v>102867.85</v>
      </c>
      <c r="BE945">
        <v>102867.85</v>
      </c>
      <c r="BF945">
        <v>99906.75</v>
      </c>
      <c r="BG945">
        <v>49611.27</v>
      </c>
      <c r="BH945">
        <v>302.16000000000003</v>
      </c>
      <c r="BI945">
        <v>797.63</v>
      </c>
      <c r="BJ945">
        <v>206.74</v>
      </c>
      <c r="BK945">
        <v>373.99</v>
      </c>
      <c r="BL945">
        <v>40372.370000000003</v>
      </c>
      <c r="BM945">
        <v>11203.69</v>
      </c>
      <c r="BR945" s="3">
        <v>45694</v>
      </c>
      <c r="BS945" t="s">
        <v>128</v>
      </c>
    </row>
    <row r="946" spans="1:71" x14ac:dyDescent="0.25">
      <c r="A946" t="s">
        <v>1100</v>
      </c>
      <c r="B946" t="s">
        <v>138</v>
      </c>
      <c r="C946" s="2">
        <f>HYPERLINK("https://szao.dolgi.msk.ru/account/3470570327/", 3470570327)</f>
        <v>3470570327</v>
      </c>
      <c r="D946" t="s">
        <v>29</v>
      </c>
      <c r="E946">
        <v>140660.35</v>
      </c>
      <c r="AX946">
        <v>34.380000000000003</v>
      </c>
      <c r="AY946">
        <v>34.590000000000003</v>
      </c>
      <c r="AZ946" t="s">
        <v>56</v>
      </c>
      <c r="BA946" t="s">
        <v>36</v>
      </c>
      <c r="BB946">
        <v>140660.35</v>
      </c>
      <c r="BC946">
        <v>140660.35</v>
      </c>
      <c r="BD946">
        <v>140660.35</v>
      </c>
      <c r="BE946">
        <v>140660.35</v>
      </c>
      <c r="BF946">
        <v>136593.29</v>
      </c>
      <c r="BG946">
        <v>68140.649999999994</v>
      </c>
      <c r="BH946">
        <v>302.16000000000003</v>
      </c>
      <c r="BI946">
        <v>797.63</v>
      </c>
      <c r="BJ946">
        <v>206.74</v>
      </c>
      <c r="BK946">
        <v>373.99</v>
      </c>
      <c r="BL946">
        <v>55451.05</v>
      </c>
      <c r="BM946">
        <v>15388.13</v>
      </c>
      <c r="BR946" s="3">
        <v>45694</v>
      </c>
      <c r="BS946" t="s">
        <v>128</v>
      </c>
    </row>
    <row r="947" spans="1:71" x14ac:dyDescent="0.25">
      <c r="A947" t="s">
        <v>1100</v>
      </c>
      <c r="B947" t="s">
        <v>1109</v>
      </c>
      <c r="C947" s="2">
        <f>HYPERLINK("https://szao.dolgi.msk.ru/account/3470594265/", 3470594265)</f>
        <v>3470594265</v>
      </c>
      <c r="D947" t="s">
        <v>29</v>
      </c>
      <c r="E947">
        <v>18501.84</v>
      </c>
      <c r="AX947">
        <v>2.81</v>
      </c>
      <c r="AY947">
        <v>2.83</v>
      </c>
      <c r="AZ947" t="s">
        <v>69</v>
      </c>
      <c r="BA947" t="s">
        <v>31</v>
      </c>
      <c r="BB947">
        <v>18501.84</v>
      </c>
      <c r="BC947">
        <v>18501.84</v>
      </c>
      <c r="BD947">
        <v>18501.84</v>
      </c>
      <c r="BE947">
        <v>18501.84</v>
      </c>
      <c r="BF947">
        <v>11971.63</v>
      </c>
      <c r="BG947">
        <v>5861.67</v>
      </c>
      <c r="BH947">
        <v>1391.96</v>
      </c>
      <c r="BI947">
        <v>3453.92</v>
      </c>
      <c r="BJ947">
        <v>972.71</v>
      </c>
      <c r="BK947">
        <v>1815.42</v>
      </c>
      <c r="BL947">
        <v>3775.95</v>
      </c>
      <c r="BM947">
        <v>1230.21</v>
      </c>
      <c r="BP947" s="3">
        <v>45586</v>
      </c>
      <c r="BQ947">
        <v>31609.49</v>
      </c>
    </row>
    <row r="948" spans="1:71" x14ac:dyDescent="0.25">
      <c r="A948" t="s">
        <v>1100</v>
      </c>
      <c r="B948" t="s">
        <v>530</v>
      </c>
      <c r="C948" s="2">
        <f>HYPERLINK("https://szao.dolgi.msk.ru/account/3470607054/", 3470607054)</f>
        <v>3470607054</v>
      </c>
      <c r="D948" t="s">
        <v>29</v>
      </c>
      <c r="E948">
        <v>25620.799999999999</v>
      </c>
      <c r="AX948">
        <v>4.37</v>
      </c>
      <c r="AY948">
        <v>5.14</v>
      </c>
      <c r="AZ948" t="s">
        <v>40</v>
      </c>
      <c r="BA948" t="s">
        <v>49</v>
      </c>
      <c r="BB948">
        <v>25620.799999999999</v>
      </c>
      <c r="BC948">
        <v>25620.799999999999</v>
      </c>
      <c r="BD948">
        <v>25620.799999999999</v>
      </c>
      <c r="BE948">
        <v>25620.799999999999</v>
      </c>
      <c r="BF948">
        <v>20639.169999999998</v>
      </c>
      <c r="BG948">
        <v>6873.2</v>
      </c>
      <c r="BH948">
        <v>2303.7399999999998</v>
      </c>
      <c r="BI948">
        <v>5759.05</v>
      </c>
      <c r="BJ948">
        <v>1576.24</v>
      </c>
      <c r="BK948">
        <v>3009.24</v>
      </c>
      <c r="BL948">
        <v>4566.0600000000004</v>
      </c>
      <c r="BM948">
        <v>1533.27</v>
      </c>
      <c r="BO948">
        <v>4981.63</v>
      </c>
      <c r="BP948" s="3">
        <v>45679</v>
      </c>
      <c r="BQ948">
        <v>4981.63</v>
      </c>
    </row>
    <row r="949" spans="1:71" x14ac:dyDescent="0.25">
      <c r="A949" t="s">
        <v>1100</v>
      </c>
      <c r="B949" t="s">
        <v>1110</v>
      </c>
      <c r="C949" s="2">
        <f>HYPERLINK("https://szao.dolgi.msk.ru/account/3470568913/", 3470568913)</f>
        <v>3470568913</v>
      </c>
      <c r="D949" t="s">
        <v>29</v>
      </c>
      <c r="E949">
        <v>171163.81</v>
      </c>
      <c r="AX949">
        <v>21.7</v>
      </c>
      <c r="AY949">
        <v>34.35</v>
      </c>
      <c r="AZ949" t="s">
        <v>40</v>
      </c>
      <c r="BA949" t="s">
        <v>36</v>
      </c>
      <c r="BB949">
        <v>171163.81</v>
      </c>
      <c r="BC949">
        <v>171163.81</v>
      </c>
      <c r="BD949">
        <v>171163.81</v>
      </c>
      <c r="BE949">
        <v>171163.81</v>
      </c>
      <c r="BF949">
        <v>166181.35</v>
      </c>
      <c r="BG949">
        <v>55705.52</v>
      </c>
      <c r="BH949">
        <v>10298.81</v>
      </c>
      <c r="BI949">
        <v>25605.35</v>
      </c>
      <c r="BJ949">
        <v>6533.18</v>
      </c>
      <c r="BK949">
        <v>13058.8</v>
      </c>
      <c r="BL949">
        <v>47282.33</v>
      </c>
      <c r="BM949">
        <v>12679.82</v>
      </c>
      <c r="BO949">
        <v>4982.46</v>
      </c>
      <c r="BP949" s="3">
        <v>45685</v>
      </c>
      <c r="BQ949">
        <v>4982.46</v>
      </c>
    </row>
    <row r="950" spans="1:71" x14ac:dyDescent="0.25">
      <c r="A950" t="s">
        <v>1100</v>
      </c>
      <c r="B950" t="s">
        <v>1111</v>
      </c>
      <c r="C950" s="2">
        <f>HYPERLINK("https://szao.dolgi.msk.ru/account/3470571995/", 3470571995)</f>
        <v>3470571995</v>
      </c>
      <c r="D950" t="s">
        <v>29</v>
      </c>
      <c r="E950">
        <v>14747.78</v>
      </c>
      <c r="AX950">
        <v>4.43</v>
      </c>
      <c r="AY950">
        <v>4.41</v>
      </c>
      <c r="AZ950" t="s">
        <v>69</v>
      </c>
      <c r="BA950" t="s">
        <v>49</v>
      </c>
      <c r="BB950">
        <v>14747.78</v>
      </c>
      <c r="BC950">
        <v>14747.78</v>
      </c>
      <c r="BD950">
        <v>14747.78</v>
      </c>
      <c r="BE950">
        <v>14747.78</v>
      </c>
      <c r="BF950">
        <v>11403.12</v>
      </c>
      <c r="BG950">
        <v>4605.91</v>
      </c>
      <c r="BH950">
        <v>1276.8699999999999</v>
      </c>
      <c r="BI950">
        <v>2474.3200000000002</v>
      </c>
      <c r="BJ950">
        <v>696.82</v>
      </c>
      <c r="BK950">
        <v>1522.06</v>
      </c>
      <c r="BL950">
        <v>3146.65</v>
      </c>
      <c r="BM950">
        <v>1025.1500000000001</v>
      </c>
      <c r="BP950" s="3">
        <v>45551</v>
      </c>
      <c r="BQ950">
        <v>2957.93</v>
      </c>
      <c r="BR950" s="3">
        <v>44966</v>
      </c>
      <c r="BS950" t="s">
        <v>1112</v>
      </c>
    </row>
    <row r="951" spans="1:71" x14ac:dyDescent="0.25">
      <c r="A951" t="s">
        <v>1100</v>
      </c>
      <c r="B951" t="s">
        <v>1113</v>
      </c>
      <c r="C951" s="2">
        <f>HYPERLINK("https://szao.dolgi.msk.ru/account/3470568841/", 3470568841)</f>
        <v>3470568841</v>
      </c>
      <c r="D951" t="s">
        <v>29</v>
      </c>
      <c r="E951">
        <v>101892.32</v>
      </c>
      <c r="AX951">
        <v>24.93</v>
      </c>
      <c r="AY951">
        <v>34.75</v>
      </c>
      <c r="AZ951" t="s">
        <v>56</v>
      </c>
      <c r="BA951" t="s">
        <v>36</v>
      </c>
      <c r="BB951">
        <v>101892.32</v>
      </c>
      <c r="BC951">
        <v>101892.32</v>
      </c>
      <c r="BD951">
        <v>101892.32</v>
      </c>
      <c r="BE951">
        <v>101892.32</v>
      </c>
      <c r="BF951">
        <v>98959.76</v>
      </c>
      <c r="BG951">
        <v>49132.99</v>
      </c>
      <c r="BH951">
        <v>302.16000000000003</v>
      </c>
      <c r="BI951">
        <v>797.63</v>
      </c>
      <c r="BJ951">
        <v>206.74</v>
      </c>
      <c r="BK951">
        <v>373.99</v>
      </c>
      <c r="BL951">
        <v>39983.120000000003</v>
      </c>
      <c r="BM951">
        <v>11095.69</v>
      </c>
    </row>
    <row r="952" spans="1:71" x14ac:dyDescent="0.25">
      <c r="A952" t="s">
        <v>1100</v>
      </c>
      <c r="B952" t="s">
        <v>1114</v>
      </c>
      <c r="C952" s="2">
        <f>HYPERLINK("https://szao.dolgi.msk.ru/account/3470568542/", 3470568542)</f>
        <v>3470568542</v>
      </c>
      <c r="D952" t="s">
        <v>29</v>
      </c>
      <c r="E952">
        <v>130823.52</v>
      </c>
      <c r="AX952">
        <v>15.21</v>
      </c>
      <c r="AY952">
        <v>15.27</v>
      </c>
      <c r="AZ952" t="s">
        <v>69</v>
      </c>
      <c r="BA952" t="s">
        <v>36</v>
      </c>
      <c r="BB952">
        <v>130823.52</v>
      </c>
      <c r="BC952">
        <v>130823.52</v>
      </c>
      <c r="BD952">
        <v>130823.52</v>
      </c>
      <c r="BE952">
        <v>130823.52</v>
      </c>
      <c r="BF952">
        <v>122257.7</v>
      </c>
      <c r="BG952">
        <v>36184.239999999998</v>
      </c>
      <c r="BH952">
        <v>8430.5499999999993</v>
      </c>
      <c r="BI952">
        <v>28267.39</v>
      </c>
      <c r="BJ952">
        <v>6249.15</v>
      </c>
      <c r="BK952">
        <v>11919.3</v>
      </c>
      <c r="BL952">
        <v>30525.3</v>
      </c>
      <c r="BM952">
        <v>9247.59</v>
      </c>
      <c r="BP952" s="3">
        <v>45667</v>
      </c>
      <c r="BQ952">
        <v>0.6</v>
      </c>
      <c r="BR952" s="3">
        <v>45538</v>
      </c>
      <c r="BS952" t="s">
        <v>1115</v>
      </c>
    </row>
    <row r="953" spans="1:71" x14ac:dyDescent="0.25">
      <c r="A953" t="s">
        <v>1116</v>
      </c>
      <c r="B953" t="s">
        <v>28</v>
      </c>
      <c r="C953" s="2">
        <f>HYPERLINK("https://szao.dolgi.msk.ru/account/3470249138/", 3470249138)</f>
        <v>3470249138</v>
      </c>
      <c r="D953" t="s">
        <v>29</v>
      </c>
      <c r="E953">
        <v>88723.19</v>
      </c>
      <c r="AX953">
        <v>17.82</v>
      </c>
      <c r="AY953">
        <v>17.86</v>
      </c>
      <c r="AZ953" t="s">
        <v>45</v>
      </c>
      <c r="BA953" t="s">
        <v>36</v>
      </c>
      <c r="BB953">
        <v>88723.19</v>
      </c>
      <c r="BC953">
        <v>88723.19</v>
      </c>
      <c r="BD953">
        <v>88723.19</v>
      </c>
      <c r="BE953">
        <v>88723.19</v>
      </c>
      <c r="BF953">
        <v>83755.539999999994</v>
      </c>
      <c r="BG953">
        <v>14934.46</v>
      </c>
      <c r="BH953">
        <v>7433.06</v>
      </c>
      <c r="BI953">
        <v>18815.12</v>
      </c>
      <c r="BJ953">
        <v>5085.74</v>
      </c>
      <c r="BK953">
        <v>9753.2800000000007</v>
      </c>
      <c r="BL953">
        <v>28330.46</v>
      </c>
      <c r="BM953">
        <v>4371.07</v>
      </c>
      <c r="BP953" s="3">
        <v>45407</v>
      </c>
      <c r="BQ953">
        <v>4316.13</v>
      </c>
      <c r="BR953" s="3">
        <v>45537</v>
      </c>
      <c r="BS953" t="s">
        <v>1117</v>
      </c>
    </row>
    <row r="954" spans="1:71" x14ac:dyDescent="0.25">
      <c r="A954" t="s">
        <v>1116</v>
      </c>
      <c r="B954" t="s">
        <v>502</v>
      </c>
      <c r="C954" s="2">
        <f>HYPERLINK("https://szao.dolgi.msk.ru/account/3470249314/", 3470249314)</f>
        <v>3470249314</v>
      </c>
      <c r="D954" t="s">
        <v>29</v>
      </c>
      <c r="E954">
        <v>41366.06</v>
      </c>
      <c r="AX954">
        <v>12.35</v>
      </c>
      <c r="AY954">
        <v>7.78</v>
      </c>
      <c r="AZ954" t="s">
        <v>35</v>
      </c>
      <c r="BA954" t="s">
        <v>36</v>
      </c>
      <c r="BB954">
        <v>41366.06</v>
      </c>
      <c r="BC954">
        <v>41366.06</v>
      </c>
      <c r="BD954">
        <v>41366.06</v>
      </c>
      <c r="BE954">
        <v>41366.06</v>
      </c>
      <c r="BF954">
        <v>36047.51</v>
      </c>
      <c r="BG954">
        <v>11911.56</v>
      </c>
      <c r="BH954">
        <v>602.16</v>
      </c>
      <c r="BI954">
        <v>1825.68</v>
      </c>
      <c r="BJ954">
        <v>558.91999999999996</v>
      </c>
      <c r="BK954">
        <v>818.39</v>
      </c>
      <c r="BL954">
        <v>22143.59</v>
      </c>
      <c r="BM954">
        <v>3505.76</v>
      </c>
      <c r="BO954">
        <v>5318.55</v>
      </c>
      <c r="BP954" s="3">
        <v>45685</v>
      </c>
      <c r="BQ954">
        <v>5318.55</v>
      </c>
      <c r="BR954" s="3">
        <v>45202</v>
      </c>
      <c r="BS954" t="s">
        <v>61</v>
      </c>
    </row>
    <row r="955" spans="1:71" x14ac:dyDescent="0.25">
      <c r="A955" t="s">
        <v>1116</v>
      </c>
      <c r="B955" t="s">
        <v>194</v>
      </c>
      <c r="C955" s="2">
        <f>HYPERLINK("https://szao.dolgi.msk.ru/account/3470249349/", 3470249349)</f>
        <v>3470249349</v>
      </c>
      <c r="D955" t="s">
        <v>29</v>
      </c>
      <c r="E955">
        <v>18721.07</v>
      </c>
      <c r="AX955">
        <v>4.9800000000000004</v>
      </c>
      <c r="AY955">
        <v>3.57</v>
      </c>
      <c r="AZ955" t="s">
        <v>40</v>
      </c>
      <c r="BA955" t="s">
        <v>49</v>
      </c>
      <c r="BB955">
        <v>18721.07</v>
      </c>
      <c r="BC955">
        <v>18721.07</v>
      </c>
      <c r="BD955">
        <v>19662.759999999998</v>
      </c>
      <c r="BE955">
        <v>19662.759999999998</v>
      </c>
      <c r="BF955">
        <v>13479.3</v>
      </c>
      <c r="BG955">
        <v>787.66</v>
      </c>
      <c r="BH955">
        <v>891.35</v>
      </c>
      <c r="BI955">
        <v>5321.55</v>
      </c>
      <c r="BJ955">
        <v>1103.3900000000001</v>
      </c>
      <c r="BK955">
        <v>-941.69</v>
      </c>
      <c r="BL955">
        <v>7237.63</v>
      </c>
      <c r="BM955">
        <v>4321.18</v>
      </c>
      <c r="BO955">
        <v>4920.3999999999996</v>
      </c>
      <c r="BP955" s="3">
        <v>45680</v>
      </c>
      <c r="BQ955">
        <v>4920.3999999999996</v>
      </c>
      <c r="BR955" s="3">
        <v>45355</v>
      </c>
      <c r="BS955" t="s">
        <v>1118</v>
      </c>
    </row>
    <row r="956" spans="1:71" x14ac:dyDescent="0.25">
      <c r="A956" t="s">
        <v>1116</v>
      </c>
      <c r="B956" t="s">
        <v>374</v>
      </c>
      <c r="C956" s="2">
        <f>HYPERLINK("https://szao.dolgi.msk.ru/account/3470249445/", 3470249445)</f>
        <v>3470249445</v>
      </c>
      <c r="D956" t="s">
        <v>29</v>
      </c>
      <c r="E956">
        <v>37989.85</v>
      </c>
      <c r="AX956">
        <v>6.45</v>
      </c>
      <c r="AY956">
        <v>4.5599999999999996</v>
      </c>
      <c r="AZ956" t="s">
        <v>35</v>
      </c>
      <c r="BA956" t="s">
        <v>66</v>
      </c>
      <c r="BB956">
        <v>37989.85</v>
      </c>
      <c r="BC956">
        <v>37989.85</v>
      </c>
      <c r="BD956">
        <v>37989.85</v>
      </c>
      <c r="BE956">
        <v>37989.85</v>
      </c>
      <c r="BF956">
        <v>29666.92</v>
      </c>
      <c r="BG956">
        <v>0</v>
      </c>
      <c r="BH956">
        <v>2771.16</v>
      </c>
      <c r="BI956">
        <v>3460.14</v>
      </c>
      <c r="BJ956">
        <v>2404.35</v>
      </c>
      <c r="BK956">
        <v>0</v>
      </c>
      <c r="BL956">
        <v>26876.59</v>
      </c>
      <c r="BM956">
        <v>2477.61</v>
      </c>
      <c r="BO956">
        <v>8322.93</v>
      </c>
      <c r="BP956" s="3">
        <v>45687</v>
      </c>
      <c r="BQ956">
        <v>8322.93</v>
      </c>
      <c r="BR956" s="3">
        <v>45239</v>
      </c>
      <c r="BS956" t="s">
        <v>1119</v>
      </c>
    </row>
    <row r="957" spans="1:71" x14ac:dyDescent="0.25">
      <c r="A957" t="s">
        <v>1116</v>
      </c>
      <c r="B957" t="s">
        <v>473</v>
      </c>
      <c r="C957" s="2">
        <f>HYPERLINK("https://szao.dolgi.msk.ru/account/3470249584/", 3470249584)</f>
        <v>3470249584</v>
      </c>
      <c r="D957" t="s">
        <v>29</v>
      </c>
      <c r="E957">
        <v>82292.45</v>
      </c>
      <c r="AX957">
        <v>12.16</v>
      </c>
      <c r="AY957">
        <v>7.87</v>
      </c>
      <c r="AZ957" t="s">
        <v>40</v>
      </c>
      <c r="BA957" t="s">
        <v>36</v>
      </c>
      <c r="BB957">
        <v>88361.99</v>
      </c>
      <c r="BC957">
        <v>88361.99</v>
      </c>
      <c r="BD957">
        <v>82316.899999999994</v>
      </c>
      <c r="BE957">
        <v>88386.44</v>
      </c>
      <c r="BF957">
        <v>126435.37</v>
      </c>
      <c r="BG957">
        <v>-24.45</v>
      </c>
      <c r="BH957">
        <v>7453.67</v>
      </c>
      <c r="BI957">
        <v>27400.68</v>
      </c>
      <c r="BJ957">
        <v>5454.82</v>
      </c>
      <c r="BK957">
        <v>11052.78</v>
      </c>
      <c r="BL957">
        <v>27481.1</v>
      </c>
      <c r="BM957">
        <v>3473.85</v>
      </c>
      <c r="BN957">
        <v>48528.18</v>
      </c>
      <c r="BO957">
        <v>6069.54</v>
      </c>
      <c r="BP957" s="3">
        <v>45698</v>
      </c>
      <c r="BQ957">
        <v>2337.8000000000002</v>
      </c>
      <c r="BR957" s="3">
        <v>45478</v>
      </c>
      <c r="BS957" t="s">
        <v>1120</v>
      </c>
    </row>
    <row r="958" spans="1:71" x14ac:dyDescent="0.25">
      <c r="A958" t="s">
        <v>1116</v>
      </c>
      <c r="B958" t="s">
        <v>238</v>
      </c>
      <c r="C958" s="2">
        <f>HYPERLINK("https://szao.dolgi.msk.ru/account/3470249795/", 3470249795)</f>
        <v>3470249795</v>
      </c>
      <c r="D958" t="s">
        <v>29</v>
      </c>
      <c r="E958">
        <v>78299.78</v>
      </c>
      <c r="AX958">
        <v>29.26</v>
      </c>
      <c r="AY958">
        <v>28.54</v>
      </c>
      <c r="AZ958" t="s">
        <v>40</v>
      </c>
      <c r="BA958" t="s">
        <v>36</v>
      </c>
      <c r="BB958">
        <v>78299.78</v>
      </c>
      <c r="BC958">
        <v>78299.78</v>
      </c>
      <c r="BD958">
        <v>78299.78</v>
      </c>
      <c r="BE958">
        <v>78299.78</v>
      </c>
      <c r="BF958">
        <v>75556.14</v>
      </c>
      <c r="BG958">
        <v>1807.21</v>
      </c>
      <c r="BH958">
        <v>12335.76</v>
      </c>
      <c r="BI958">
        <v>35770.589999999997</v>
      </c>
      <c r="BJ958">
        <v>9209.9</v>
      </c>
      <c r="BK958">
        <v>15738.86</v>
      </c>
      <c r="BL958">
        <v>2995.84</v>
      </c>
      <c r="BM958">
        <v>441.62</v>
      </c>
      <c r="BP958" s="3">
        <v>45653</v>
      </c>
      <c r="BQ958">
        <v>2501.0300000000002</v>
      </c>
      <c r="BR958" s="3">
        <v>45173</v>
      </c>
      <c r="BS958" t="s">
        <v>61</v>
      </c>
    </row>
    <row r="959" spans="1:71" x14ac:dyDescent="0.25">
      <c r="A959" t="s">
        <v>1121</v>
      </c>
      <c r="B959" t="s">
        <v>52</v>
      </c>
      <c r="C959" s="2">
        <f>HYPERLINK("https://szao.dolgi.msk.ru/account/3470231851/", 3470231851)</f>
        <v>3470231851</v>
      </c>
      <c r="D959" t="s">
        <v>29</v>
      </c>
      <c r="E959">
        <v>125282.98</v>
      </c>
      <c r="AX959">
        <v>21.15</v>
      </c>
      <c r="AY959">
        <v>15.29</v>
      </c>
      <c r="AZ959" t="s">
        <v>40</v>
      </c>
      <c r="BA959" t="s">
        <v>36</v>
      </c>
      <c r="BB959">
        <v>125282.98</v>
      </c>
      <c r="BC959">
        <v>125282.98</v>
      </c>
      <c r="BD959">
        <v>125282.98</v>
      </c>
      <c r="BE959">
        <v>125282.98</v>
      </c>
      <c r="BF959">
        <v>118635.06</v>
      </c>
      <c r="BG959">
        <v>34837.339999999997</v>
      </c>
      <c r="BH959">
        <v>6025.94</v>
      </c>
      <c r="BI959">
        <v>38816.75</v>
      </c>
      <c r="BJ959">
        <v>10366.44</v>
      </c>
      <c r="BK959">
        <v>8267.75</v>
      </c>
      <c r="BL959">
        <v>20473.27</v>
      </c>
      <c r="BM959">
        <v>6495.49</v>
      </c>
      <c r="BN959">
        <v>1513.81</v>
      </c>
      <c r="BO959">
        <v>1548.14</v>
      </c>
      <c r="BP959" s="3">
        <v>45698</v>
      </c>
      <c r="BQ959">
        <v>1548.14</v>
      </c>
      <c r="BR959" s="3">
        <v>45266</v>
      </c>
      <c r="BS959" t="s">
        <v>1122</v>
      </c>
    </row>
    <row r="960" spans="1:71" x14ac:dyDescent="0.25">
      <c r="A960" t="s">
        <v>1121</v>
      </c>
      <c r="B960" t="s">
        <v>296</v>
      </c>
      <c r="C960" s="2">
        <f>HYPERLINK("https://szao.dolgi.msk.ru/account/3470231464/", 3470231464)</f>
        <v>3470231464</v>
      </c>
      <c r="D960" t="s">
        <v>29</v>
      </c>
      <c r="E960">
        <v>9890.24</v>
      </c>
      <c r="AX960">
        <v>2.19</v>
      </c>
      <c r="AY960">
        <v>2.2999999999999998</v>
      </c>
      <c r="AZ960" t="s">
        <v>40</v>
      </c>
      <c r="BA960" t="s">
        <v>31</v>
      </c>
      <c r="BB960">
        <v>9890.24</v>
      </c>
      <c r="BC960">
        <v>9890.24</v>
      </c>
      <c r="BD960">
        <v>9890.24</v>
      </c>
      <c r="BE960">
        <v>9890.24</v>
      </c>
      <c r="BF960">
        <v>5593.81</v>
      </c>
      <c r="BG960">
        <v>3049.36</v>
      </c>
      <c r="BH960">
        <v>837.19</v>
      </c>
      <c r="BI960">
        <v>1608.01</v>
      </c>
      <c r="BJ960">
        <v>452.86</v>
      </c>
      <c r="BK960">
        <v>1032.98</v>
      </c>
      <c r="BL960">
        <v>2358.1999999999998</v>
      </c>
      <c r="BM960">
        <v>551.64</v>
      </c>
      <c r="BN960">
        <v>4152.05</v>
      </c>
      <c r="BP960" s="3">
        <v>45670</v>
      </c>
      <c r="BQ960">
        <v>4152.05</v>
      </c>
    </row>
    <row r="961" spans="1:71" x14ac:dyDescent="0.25">
      <c r="A961" t="s">
        <v>1121</v>
      </c>
      <c r="B961" t="s">
        <v>313</v>
      </c>
      <c r="C961" s="2">
        <f>HYPERLINK("https://szao.dolgi.msk.ru/account/3470231915/", 3470231915)</f>
        <v>3470231915</v>
      </c>
      <c r="D961" t="s">
        <v>29</v>
      </c>
      <c r="E961">
        <v>12229.77</v>
      </c>
      <c r="AX961">
        <v>2.2999999999999998</v>
      </c>
      <c r="AY961">
        <v>2.4</v>
      </c>
      <c r="AZ961" t="s">
        <v>40</v>
      </c>
      <c r="BA961" t="s">
        <v>31</v>
      </c>
      <c r="BB961">
        <v>12229.77</v>
      </c>
      <c r="BC961">
        <v>12229.77</v>
      </c>
      <c r="BD961">
        <v>12229.77</v>
      </c>
      <c r="BE961">
        <v>12229.77</v>
      </c>
      <c r="BF961">
        <v>7136.56</v>
      </c>
      <c r="BG961">
        <v>3073.69</v>
      </c>
      <c r="BH961">
        <v>943.61</v>
      </c>
      <c r="BI961">
        <v>3041.05</v>
      </c>
      <c r="BJ961">
        <v>856.44</v>
      </c>
      <c r="BK961">
        <v>1381.94</v>
      </c>
      <c r="BL961">
        <v>2377</v>
      </c>
      <c r="BM961">
        <v>556.04</v>
      </c>
      <c r="BP961" s="3">
        <v>45642</v>
      </c>
      <c r="BQ961">
        <v>5706.38</v>
      </c>
    </row>
    <row r="962" spans="1:71" x14ac:dyDescent="0.25">
      <c r="A962" t="s">
        <v>1121</v>
      </c>
      <c r="B962" t="s">
        <v>315</v>
      </c>
      <c r="C962" s="2">
        <f>HYPERLINK("https://szao.dolgi.msk.ru/account/3470232256/", 3470232256)</f>
        <v>3470232256</v>
      </c>
      <c r="D962" t="s">
        <v>29</v>
      </c>
      <c r="E962">
        <v>361996.83</v>
      </c>
      <c r="AX962">
        <v>38</v>
      </c>
      <c r="AY962">
        <v>37.19</v>
      </c>
      <c r="AZ962" t="s">
        <v>56</v>
      </c>
      <c r="BA962" t="s">
        <v>36</v>
      </c>
      <c r="BB962">
        <v>361996.83</v>
      </c>
      <c r="BC962">
        <v>361996.83</v>
      </c>
      <c r="BD962">
        <v>361996.83</v>
      </c>
      <c r="BE962">
        <v>361996.83</v>
      </c>
      <c r="BF962">
        <v>352263.78</v>
      </c>
      <c r="BG962">
        <v>48912.6</v>
      </c>
      <c r="BH962">
        <v>40963.14</v>
      </c>
      <c r="BI962">
        <v>130767.72</v>
      </c>
      <c r="BJ962">
        <v>34752.36</v>
      </c>
      <c r="BK962">
        <v>58423.94</v>
      </c>
      <c r="BL962">
        <v>38593.31</v>
      </c>
      <c r="BM962">
        <v>9583.76</v>
      </c>
      <c r="BN962">
        <v>0.39</v>
      </c>
      <c r="BP962" s="3">
        <v>45684</v>
      </c>
      <c r="BQ962">
        <v>0.39</v>
      </c>
      <c r="BR962" s="3">
        <v>45574</v>
      </c>
      <c r="BS962" t="s">
        <v>1123</v>
      </c>
    </row>
    <row r="963" spans="1:71" x14ac:dyDescent="0.25">
      <c r="A963" t="s">
        <v>1124</v>
      </c>
      <c r="B963" t="s">
        <v>364</v>
      </c>
      <c r="C963" s="2">
        <f>HYPERLINK("https://szao.dolgi.msk.ru/account/3470614705/", 3470614705)</f>
        <v>3470614705</v>
      </c>
      <c r="D963" t="s">
        <v>29</v>
      </c>
      <c r="E963">
        <v>9917.06</v>
      </c>
      <c r="AX963">
        <v>4.09</v>
      </c>
      <c r="AY963">
        <v>1.48</v>
      </c>
      <c r="AZ963" t="s">
        <v>69</v>
      </c>
      <c r="BA963" t="s">
        <v>49</v>
      </c>
      <c r="BB963">
        <v>9917.06</v>
      </c>
      <c r="BC963">
        <v>9917.06</v>
      </c>
      <c r="BD963">
        <v>9917.06</v>
      </c>
      <c r="BE963">
        <v>9917.06</v>
      </c>
      <c r="BF963">
        <v>0</v>
      </c>
      <c r="BG963">
        <v>2649.12</v>
      </c>
      <c r="BH963">
        <v>1768.88</v>
      </c>
      <c r="BI963">
        <v>0</v>
      </c>
      <c r="BJ963">
        <v>0</v>
      </c>
      <c r="BK963">
        <v>1358.02</v>
      </c>
      <c r="BL963">
        <v>3609.94</v>
      </c>
      <c r="BM963">
        <v>531.1</v>
      </c>
    </row>
    <row r="964" spans="1:71" x14ac:dyDescent="0.25">
      <c r="A964" t="s">
        <v>1124</v>
      </c>
      <c r="B964" t="s">
        <v>550</v>
      </c>
      <c r="C964" s="2">
        <f>HYPERLINK("https://szao.dolgi.msk.ru/account/3470232539/", 3470232539)</f>
        <v>3470232539</v>
      </c>
      <c r="D964" t="s">
        <v>29</v>
      </c>
      <c r="E964">
        <v>69990.19</v>
      </c>
      <c r="AX964">
        <v>14.93</v>
      </c>
      <c r="AY964">
        <v>15</v>
      </c>
      <c r="AZ964" t="s">
        <v>56</v>
      </c>
      <c r="BA964" t="s">
        <v>36</v>
      </c>
      <c r="BB964">
        <v>69990.19</v>
      </c>
      <c r="BC964">
        <v>69990.19</v>
      </c>
      <c r="BD964">
        <v>69999.7</v>
      </c>
      <c r="BE964">
        <v>69999.7</v>
      </c>
      <c r="BF964">
        <v>65325.72</v>
      </c>
      <c r="BG964">
        <v>19664.650000000001</v>
      </c>
      <c r="BH964">
        <v>9061.65</v>
      </c>
      <c r="BI964">
        <v>0</v>
      </c>
      <c r="BJ964">
        <v>-9.51</v>
      </c>
      <c r="BK964">
        <v>7051.12</v>
      </c>
      <c r="BL964">
        <v>29660.34</v>
      </c>
      <c r="BM964">
        <v>4561.9399999999996</v>
      </c>
      <c r="BP964" s="3">
        <v>45160</v>
      </c>
      <c r="BQ964">
        <v>39147.839999999997</v>
      </c>
      <c r="BR964" s="3">
        <v>45537</v>
      </c>
      <c r="BS964" t="s">
        <v>1125</v>
      </c>
    </row>
    <row r="965" spans="1:71" x14ac:dyDescent="0.25">
      <c r="A965" t="s">
        <v>1124</v>
      </c>
      <c r="B965" t="s">
        <v>245</v>
      </c>
      <c r="C965" s="2">
        <f>HYPERLINK("https://szao.dolgi.msk.ru/account/3470304336/", 3470304336)</f>
        <v>3470304336</v>
      </c>
      <c r="D965" t="s">
        <v>29</v>
      </c>
      <c r="E965">
        <v>10825.78</v>
      </c>
      <c r="AX965">
        <v>6.28</v>
      </c>
      <c r="AY965">
        <v>4.6399999999999997</v>
      </c>
      <c r="AZ965" t="s">
        <v>30</v>
      </c>
      <c r="BA965" t="s">
        <v>66</v>
      </c>
      <c r="BB965">
        <v>10825.78</v>
      </c>
      <c r="BC965">
        <v>10825.78</v>
      </c>
      <c r="BD965">
        <v>11586.61</v>
      </c>
      <c r="BE965">
        <v>11586.61</v>
      </c>
      <c r="BF965">
        <v>8491.5</v>
      </c>
      <c r="BG965">
        <v>1611.93</v>
      </c>
      <c r="BH965">
        <v>-760.83</v>
      </c>
      <c r="BI965">
        <v>0</v>
      </c>
      <c r="BJ965">
        <v>0</v>
      </c>
      <c r="BK965">
        <v>307.52999999999997</v>
      </c>
      <c r="BL965">
        <v>9366.4599999999991</v>
      </c>
      <c r="BM965">
        <v>300.69</v>
      </c>
      <c r="BP965" s="3">
        <v>45611</v>
      </c>
      <c r="BQ965">
        <v>2261.6</v>
      </c>
      <c r="BR965" s="3">
        <v>45566</v>
      </c>
      <c r="BS965" t="s">
        <v>1126</v>
      </c>
    </row>
    <row r="966" spans="1:71" x14ac:dyDescent="0.25">
      <c r="A966" t="s">
        <v>1127</v>
      </c>
      <c r="B966" t="s">
        <v>34</v>
      </c>
      <c r="C966" s="2">
        <f>HYPERLINK("https://szao.dolgi.msk.ru/account/3470309997/", 3470309997)</f>
        <v>3470309997</v>
      </c>
      <c r="D966" t="s">
        <v>29</v>
      </c>
      <c r="E966">
        <v>5549.6</v>
      </c>
      <c r="AX966">
        <v>20.97</v>
      </c>
      <c r="AY966">
        <v>3.14</v>
      </c>
      <c r="AZ966" t="s">
        <v>40</v>
      </c>
      <c r="BA966" t="s">
        <v>36</v>
      </c>
      <c r="BB966">
        <v>5549.6</v>
      </c>
      <c r="BC966">
        <v>5549.6</v>
      </c>
      <c r="BD966">
        <v>5836.27</v>
      </c>
      <c r="BE966">
        <v>5836.27</v>
      </c>
      <c r="BF966">
        <v>3780.67</v>
      </c>
      <c r="BG966">
        <v>1663</v>
      </c>
      <c r="BH966">
        <v>465.63</v>
      </c>
      <c r="BI966">
        <v>-286.67</v>
      </c>
      <c r="BJ966">
        <v>1654.87</v>
      </c>
      <c r="BK966">
        <v>401.01</v>
      </c>
      <c r="BL966">
        <v>1350.92</v>
      </c>
      <c r="BM966">
        <v>300.83999999999997</v>
      </c>
      <c r="BP966" s="3">
        <v>45653</v>
      </c>
      <c r="BQ966">
        <v>1545.83</v>
      </c>
      <c r="BR966" s="3">
        <v>44951</v>
      </c>
      <c r="BS966" t="s">
        <v>1128</v>
      </c>
    </row>
    <row r="967" spans="1:71" x14ac:dyDescent="0.25">
      <c r="A967" t="s">
        <v>1127</v>
      </c>
      <c r="B967" t="s">
        <v>309</v>
      </c>
      <c r="C967" s="2">
        <f>HYPERLINK("https://szao.dolgi.msk.ru/account/3470233339/", 3470233339)</f>
        <v>3470233339</v>
      </c>
      <c r="D967" t="s">
        <v>29</v>
      </c>
      <c r="E967">
        <v>116982.23</v>
      </c>
      <c r="AX967">
        <v>20.87</v>
      </c>
      <c r="AY967">
        <v>19.21</v>
      </c>
      <c r="AZ967" t="s">
        <v>56</v>
      </c>
      <c r="BA967" t="s">
        <v>36</v>
      </c>
      <c r="BB967">
        <v>116982.23</v>
      </c>
      <c r="BC967">
        <v>116982.23</v>
      </c>
      <c r="BD967">
        <v>116982.23</v>
      </c>
      <c r="BE967">
        <v>116982.23</v>
      </c>
      <c r="BF967">
        <v>110892.54</v>
      </c>
      <c r="BG967">
        <v>21387.51</v>
      </c>
      <c r="BH967">
        <v>9099.7099999999991</v>
      </c>
      <c r="BI967">
        <v>18518.22</v>
      </c>
      <c r="BJ967">
        <v>4000.04</v>
      </c>
      <c r="BK967">
        <v>12089.85</v>
      </c>
      <c r="BL967">
        <v>41143.910000000003</v>
      </c>
      <c r="BM967">
        <v>10742.99</v>
      </c>
      <c r="BP967" s="3">
        <v>45306</v>
      </c>
      <c r="BQ967">
        <v>39869.46</v>
      </c>
      <c r="BR967" s="3">
        <v>45301</v>
      </c>
      <c r="BS967" t="s">
        <v>128</v>
      </c>
    </row>
    <row r="968" spans="1:71" x14ac:dyDescent="0.25">
      <c r="A968" t="s">
        <v>1127</v>
      </c>
      <c r="B968" t="s">
        <v>106</v>
      </c>
      <c r="C968" s="2">
        <f>HYPERLINK("https://szao.dolgi.msk.ru/account/3470233566/", 3470233566)</f>
        <v>3470233566</v>
      </c>
      <c r="D968" t="s">
        <v>29</v>
      </c>
      <c r="E968">
        <v>11167.92</v>
      </c>
      <c r="AX968">
        <v>2.0499999999999998</v>
      </c>
      <c r="AY968">
        <v>2.1</v>
      </c>
      <c r="AZ968" t="s">
        <v>30</v>
      </c>
      <c r="BA968" t="s">
        <v>31</v>
      </c>
      <c r="BB968">
        <v>11167.92</v>
      </c>
      <c r="BC968">
        <v>11167.92</v>
      </c>
      <c r="BD968">
        <v>11167.92</v>
      </c>
      <c r="BE968">
        <v>11167.92</v>
      </c>
      <c r="BF968">
        <v>5851.76</v>
      </c>
      <c r="BG968">
        <v>3106.13</v>
      </c>
      <c r="BH968">
        <v>1196</v>
      </c>
      <c r="BI968">
        <v>1911.06</v>
      </c>
      <c r="BJ968">
        <v>538.20000000000005</v>
      </c>
      <c r="BK968">
        <v>1331.39</v>
      </c>
      <c r="BL968">
        <v>2523.2199999999998</v>
      </c>
      <c r="BM968">
        <v>561.91999999999996</v>
      </c>
      <c r="BP968" s="3">
        <v>45645</v>
      </c>
      <c r="BQ968">
        <v>7353.78</v>
      </c>
    </row>
    <row r="969" spans="1:71" x14ac:dyDescent="0.25">
      <c r="A969" t="s">
        <v>1127</v>
      </c>
      <c r="B969" t="s">
        <v>241</v>
      </c>
      <c r="C969" s="2">
        <f>HYPERLINK("https://szao.dolgi.msk.ru/account/3470234024/", 3470234024)</f>
        <v>3470234024</v>
      </c>
      <c r="D969" t="s">
        <v>29</v>
      </c>
      <c r="E969">
        <v>183926.59</v>
      </c>
      <c r="AX969">
        <v>48.82</v>
      </c>
      <c r="AY969">
        <v>47.49</v>
      </c>
      <c r="AZ969" t="s">
        <v>56</v>
      </c>
      <c r="BA969" t="s">
        <v>36</v>
      </c>
      <c r="BB969">
        <v>183926.59</v>
      </c>
      <c r="BC969">
        <v>183926.59</v>
      </c>
      <c r="BD969">
        <v>192014.65</v>
      </c>
      <c r="BE969">
        <v>192014.65</v>
      </c>
      <c r="BF969">
        <v>182875.7</v>
      </c>
      <c r="BG969">
        <v>82696.34</v>
      </c>
      <c r="BH969">
        <v>7197.03</v>
      </c>
      <c r="BI969">
        <v>15844.97</v>
      </c>
      <c r="BJ969">
        <v>4109.84</v>
      </c>
      <c r="BK969">
        <v>-8088.06</v>
      </c>
      <c r="BL969">
        <v>70267.41</v>
      </c>
      <c r="BM969">
        <v>11899.06</v>
      </c>
      <c r="BN969">
        <v>2822.44</v>
      </c>
      <c r="BP969" s="3">
        <v>45696</v>
      </c>
      <c r="BQ969">
        <v>2822.44</v>
      </c>
      <c r="BR969" s="3">
        <v>45496</v>
      </c>
      <c r="BS969" t="s">
        <v>1129</v>
      </c>
    </row>
    <row r="970" spans="1:71" x14ac:dyDescent="0.25">
      <c r="A970" t="s">
        <v>1127</v>
      </c>
      <c r="B970" t="s">
        <v>124</v>
      </c>
      <c r="C970" s="2">
        <f>HYPERLINK("https://szao.dolgi.msk.ru/account/3470234083/", 3470234083)</f>
        <v>3470234083</v>
      </c>
      <c r="D970" t="s">
        <v>29</v>
      </c>
      <c r="E970">
        <v>9631.6</v>
      </c>
      <c r="AX970">
        <v>2.76</v>
      </c>
      <c r="AY970">
        <v>2.73</v>
      </c>
      <c r="AZ970" t="s">
        <v>30</v>
      </c>
      <c r="BA970" t="s">
        <v>31</v>
      </c>
      <c r="BB970">
        <v>9631.6</v>
      </c>
      <c r="BC970">
        <v>9631.6</v>
      </c>
      <c r="BD970">
        <v>9631.6</v>
      </c>
      <c r="BE970">
        <v>9631.6</v>
      </c>
      <c r="BF970">
        <v>6499.34</v>
      </c>
      <c r="BG970">
        <v>3871.13</v>
      </c>
      <c r="BH970">
        <v>1133.03</v>
      </c>
      <c r="BI970">
        <v>1100.4100000000001</v>
      </c>
      <c r="BJ970">
        <v>315.16000000000003</v>
      </c>
      <c r="BK970">
        <v>1509.47</v>
      </c>
      <c r="BL970">
        <v>1319.48</v>
      </c>
      <c r="BM970">
        <v>382.92</v>
      </c>
      <c r="BN970">
        <v>1072.98</v>
      </c>
      <c r="BP970" s="3">
        <v>45683</v>
      </c>
      <c r="BQ970">
        <v>1072.98</v>
      </c>
      <c r="BR970" s="3">
        <v>45502</v>
      </c>
      <c r="BS970" t="s">
        <v>1130</v>
      </c>
    </row>
    <row r="971" spans="1:71" x14ac:dyDescent="0.25">
      <c r="A971" t="s">
        <v>1131</v>
      </c>
      <c r="B971" t="s">
        <v>100</v>
      </c>
      <c r="C971" s="2">
        <f>HYPERLINK("https://szao.dolgi.msk.ru/account/3470234358/", 3470234358)</f>
        <v>3470234358</v>
      </c>
      <c r="D971" t="s">
        <v>29</v>
      </c>
      <c r="E971">
        <v>62016.08</v>
      </c>
      <c r="AX971">
        <v>19.23</v>
      </c>
      <c r="AY971">
        <v>17.12</v>
      </c>
      <c r="AZ971" t="s">
        <v>69</v>
      </c>
      <c r="BA971" t="s">
        <v>36</v>
      </c>
      <c r="BB971">
        <v>62016.08</v>
      </c>
      <c r="BC971">
        <v>62016.08</v>
      </c>
      <c r="BD971">
        <v>62016.08</v>
      </c>
      <c r="BE971">
        <v>62016.08</v>
      </c>
      <c r="BF971">
        <v>58262.37</v>
      </c>
      <c r="BG971">
        <v>13300.44</v>
      </c>
      <c r="BH971">
        <v>2071.4899999999998</v>
      </c>
      <c r="BI971">
        <v>12329.33</v>
      </c>
      <c r="BJ971">
        <v>4084.39</v>
      </c>
      <c r="BK971">
        <v>4137.97</v>
      </c>
      <c r="BL971">
        <v>21078.91</v>
      </c>
      <c r="BM971">
        <v>5013.55</v>
      </c>
      <c r="BP971" s="3">
        <v>45539</v>
      </c>
      <c r="BQ971">
        <v>0</v>
      </c>
      <c r="BR971" s="3">
        <v>45538</v>
      </c>
      <c r="BS971" t="s">
        <v>1132</v>
      </c>
    </row>
    <row r="972" spans="1:71" x14ac:dyDescent="0.25">
      <c r="A972" t="s">
        <v>1131</v>
      </c>
      <c r="B972" t="s">
        <v>410</v>
      </c>
      <c r="C972" s="2">
        <f>HYPERLINK("https://szao.dolgi.msk.ru/account/3470234948/", 3470234948)</f>
        <v>3470234948</v>
      </c>
      <c r="D972" t="s">
        <v>29</v>
      </c>
      <c r="E972">
        <v>40051.129999999997</v>
      </c>
      <c r="AX972">
        <v>10.85</v>
      </c>
      <c r="AY972">
        <v>6.62</v>
      </c>
      <c r="AZ972" t="s">
        <v>35</v>
      </c>
      <c r="BA972" t="s">
        <v>63</v>
      </c>
      <c r="BB972">
        <v>40051.129999999997</v>
      </c>
      <c r="BC972">
        <v>40051.129999999997</v>
      </c>
      <c r="BD972">
        <v>40051.129999999997</v>
      </c>
      <c r="BE972">
        <v>40051.129999999997</v>
      </c>
      <c r="BF972">
        <v>33998.629999999997</v>
      </c>
      <c r="BG972">
        <v>12604.09</v>
      </c>
      <c r="BH972">
        <v>3141.83</v>
      </c>
      <c r="BI972">
        <v>7547.26</v>
      </c>
      <c r="BJ972">
        <v>2736</v>
      </c>
      <c r="BK972">
        <v>2485.17</v>
      </c>
      <c r="BL972">
        <v>9886.49</v>
      </c>
      <c r="BM972">
        <v>1650.29</v>
      </c>
      <c r="BN972">
        <v>5776.49</v>
      </c>
      <c r="BP972" s="3">
        <v>45673</v>
      </c>
      <c r="BQ972">
        <v>5776.49</v>
      </c>
      <c r="BR972" s="3">
        <v>45075</v>
      </c>
      <c r="BS972" t="s">
        <v>1133</v>
      </c>
    </row>
    <row r="973" spans="1:71" x14ac:dyDescent="0.25">
      <c r="A973" t="s">
        <v>1131</v>
      </c>
      <c r="B973" t="s">
        <v>591</v>
      </c>
      <c r="C973" s="2">
        <f>HYPERLINK("https://szao.dolgi.msk.ru/account/3470235123/", 3470235123)</f>
        <v>3470235123</v>
      </c>
      <c r="D973" t="s">
        <v>29</v>
      </c>
      <c r="E973">
        <v>52908.38</v>
      </c>
      <c r="AX973">
        <v>5.36</v>
      </c>
      <c r="AY973">
        <v>5.36</v>
      </c>
      <c r="AZ973" t="s">
        <v>69</v>
      </c>
      <c r="BA973" t="s">
        <v>49</v>
      </c>
      <c r="BB973">
        <v>52908.38</v>
      </c>
      <c r="BC973">
        <v>52908.38</v>
      </c>
      <c r="BD973">
        <v>52908.38</v>
      </c>
      <c r="BE973">
        <v>52908.38</v>
      </c>
      <c r="BF973">
        <v>43401.86</v>
      </c>
      <c r="BG973">
        <v>14245.01</v>
      </c>
      <c r="BH973">
        <v>6295.68</v>
      </c>
      <c r="BI973">
        <v>9784.9</v>
      </c>
      <c r="BJ973">
        <v>2759.82</v>
      </c>
      <c r="BK973">
        <v>6955.97</v>
      </c>
      <c r="BL973">
        <v>10036.86</v>
      </c>
      <c r="BM973">
        <v>2830.14</v>
      </c>
      <c r="BP973" s="3">
        <v>45517</v>
      </c>
      <c r="BQ973">
        <v>8570.98</v>
      </c>
    </row>
    <row r="974" spans="1:71" x14ac:dyDescent="0.25">
      <c r="A974" t="s">
        <v>1134</v>
      </c>
      <c r="B974" t="s">
        <v>139</v>
      </c>
      <c r="C974" s="2">
        <f>HYPERLINK("https://szao.dolgi.msk.ru/account/3470236118/", 3470236118)</f>
        <v>3470236118</v>
      </c>
      <c r="D974" t="s">
        <v>29</v>
      </c>
      <c r="E974">
        <v>28584.02</v>
      </c>
      <c r="AX974">
        <v>2.9</v>
      </c>
      <c r="AY974">
        <v>2.92</v>
      </c>
      <c r="AZ974" t="s">
        <v>69</v>
      </c>
      <c r="BA974" t="s">
        <v>31</v>
      </c>
      <c r="BB974">
        <v>28584.02</v>
      </c>
      <c r="BC974">
        <v>28584.02</v>
      </c>
      <c r="BD974">
        <v>28584.02</v>
      </c>
      <c r="BE974">
        <v>28584.02</v>
      </c>
      <c r="BF974">
        <v>18801.419999999998</v>
      </c>
      <c r="BG974">
        <v>4078.97</v>
      </c>
      <c r="BH974">
        <v>3732.42</v>
      </c>
      <c r="BI974">
        <v>9067.98</v>
      </c>
      <c r="BJ974">
        <v>2553.75</v>
      </c>
      <c r="BK974">
        <v>4826.07</v>
      </c>
      <c r="BL974">
        <v>3552.39</v>
      </c>
      <c r="BM974">
        <v>772.44</v>
      </c>
      <c r="BP974" s="3">
        <v>45594</v>
      </c>
      <c r="BQ974">
        <v>9400.7099999999991</v>
      </c>
    </row>
    <row r="975" spans="1:71" x14ac:dyDescent="0.25">
      <c r="A975" t="s">
        <v>1134</v>
      </c>
      <c r="B975" t="s">
        <v>124</v>
      </c>
      <c r="C975" s="2">
        <f>HYPERLINK("https://szao.dolgi.msk.ru/account/3470236134/", 3470236134)</f>
        <v>3470236134</v>
      </c>
      <c r="D975" t="s">
        <v>29</v>
      </c>
      <c r="E975">
        <v>9104.43</v>
      </c>
      <c r="AX975">
        <v>2.02</v>
      </c>
      <c r="AY975">
        <v>2.06</v>
      </c>
      <c r="AZ975" t="s">
        <v>30</v>
      </c>
      <c r="BA975" t="s">
        <v>31</v>
      </c>
      <c r="BB975">
        <v>9104.43</v>
      </c>
      <c r="BC975">
        <v>9104.43</v>
      </c>
      <c r="BD975">
        <v>9104.43</v>
      </c>
      <c r="BE975">
        <v>9104.43</v>
      </c>
      <c r="BF975">
        <v>4688.99</v>
      </c>
      <c r="BG975">
        <v>2830.39</v>
      </c>
      <c r="BH975">
        <v>578.07000000000005</v>
      </c>
      <c r="BI975">
        <v>1592.55</v>
      </c>
      <c r="BJ975">
        <v>448.5</v>
      </c>
      <c r="BK975">
        <v>788.12</v>
      </c>
      <c r="BL975">
        <v>2354.7600000000002</v>
      </c>
      <c r="BM975">
        <v>512.04</v>
      </c>
      <c r="BP975" s="3">
        <v>45615</v>
      </c>
      <c r="BQ975">
        <v>13148.05</v>
      </c>
    </row>
    <row r="976" spans="1:71" x14ac:dyDescent="0.25">
      <c r="A976" t="s">
        <v>1135</v>
      </c>
      <c r="B976" t="s">
        <v>48</v>
      </c>
      <c r="C976" s="2">
        <f>HYPERLINK("https://szao.dolgi.msk.ru/account/3470236599/", 3470236599)</f>
        <v>3470236599</v>
      </c>
      <c r="D976" t="s">
        <v>29</v>
      </c>
      <c r="E976">
        <v>15739.25</v>
      </c>
      <c r="AX976">
        <v>2.48</v>
      </c>
      <c r="AY976">
        <v>2.65</v>
      </c>
      <c r="AZ976" t="s">
        <v>30</v>
      </c>
      <c r="BA976" t="s">
        <v>31</v>
      </c>
      <c r="BB976">
        <v>15739.25</v>
      </c>
      <c r="BC976">
        <v>15739.25</v>
      </c>
      <c r="BD976">
        <v>15739.25</v>
      </c>
      <c r="BE976">
        <v>15739.25</v>
      </c>
      <c r="BF976">
        <v>9801.0499999999993</v>
      </c>
      <c r="BG976">
        <v>3819.81</v>
      </c>
      <c r="BH976">
        <v>1273.6400000000001</v>
      </c>
      <c r="BI976">
        <v>3790.26</v>
      </c>
      <c r="BJ976">
        <v>1067.43</v>
      </c>
      <c r="BK976">
        <v>1797.3</v>
      </c>
      <c r="BL976">
        <v>3299.79</v>
      </c>
      <c r="BM976">
        <v>691.02</v>
      </c>
      <c r="BN976">
        <v>10063.82</v>
      </c>
      <c r="BP976" s="3">
        <v>45671</v>
      </c>
      <c r="BQ976">
        <v>10063.82</v>
      </c>
    </row>
    <row r="977" spans="1:71" x14ac:dyDescent="0.25">
      <c r="A977" t="s">
        <v>1135</v>
      </c>
      <c r="B977" t="s">
        <v>52</v>
      </c>
      <c r="C977" s="2">
        <f>HYPERLINK("https://szao.dolgi.msk.ru/account/3470236855/", 3470236855)</f>
        <v>3470236855</v>
      </c>
      <c r="D977" t="s">
        <v>29</v>
      </c>
      <c r="E977">
        <v>90921.1</v>
      </c>
      <c r="AX977">
        <v>15.33</v>
      </c>
      <c r="AY977">
        <v>18.329999999999998</v>
      </c>
      <c r="AZ977" t="s">
        <v>35</v>
      </c>
      <c r="BA977" t="s">
        <v>36</v>
      </c>
      <c r="BB977">
        <v>90921.1</v>
      </c>
      <c r="BC977">
        <v>90921.1</v>
      </c>
      <c r="BD977">
        <v>90921.1</v>
      </c>
      <c r="BE977">
        <v>90921.1</v>
      </c>
      <c r="BF977">
        <v>85962.02</v>
      </c>
      <c r="BG977">
        <v>6702.32</v>
      </c>
      <c r="BH977">
        <v>13392.28</v>
      </c>
      <c r="BI977">
        <v>34685.410000000003</v>
      </c>
      <c r="BJ977">
        <v>9189.68</v>
      </c>
      <c r="BK977">
        <v>17722.349999999999</v>
      </c>
      <c r="BL977">
        <v>7513.33</v>
      </c>
      <c r="BM977">
        <v>1715.73</v>
      </c>
      <c r="BO977">
        <v>4959.08</v>
      </c>
      <c r="BP977" s="3">
        <v>45672</v>
      </c>
      <c r="BQ977">
        <v>4959.08</v>
      </c>
      <c r="BR977" s="3">
        <v>45699</v>
      </c>
      <c r="BS977" t="s">
        <v>1136</v>
      </c>
    </row>
    <row r="978" spans="1:71" x14ac:dyDescent="0.25">
      <c r="A978" t="s">
        <v>1135</v>
      </c>
      <c r="B978" t="s">
        <v>245</v>
      </c>
      <c r="C978" s="2">
        <f>HYPERLINK("https://szao.dolgi.msk.ru/account/3470236759/", 3470236759)</f>
        <v>3470236759</v>
      </c>
      <c r="D978" t="s">
        <v>29</v>
      </c>
      <c r="E978">
        <v>271821.58</v>
      </c>
      <c r="AX978">
        <v>18.149999999999999</v>
      </c>
      <c r="AY978">
        <v>16.16</v>
      </c>
      <c r="AZ978" t="s">
        <v>40</v>
      </c>
      <c r="BA978" t="s">
        <v>36</v>
      </c>
      <c r="BB978">
        <v>271821.58</v>
      </c>
      <c r="BC978">
        <v>271821.58</v>
      </c>
      <c r="BD978">
        <v>271821.58</v>
      </c>
      <c r="BE978">
        <v>271821.58</v>
      </c>
      <c r="BF978">
        <v>257272.57</v>
      </c>
      <c r="BG978">
        <v>32027.99</v>
      </c>
      <c r="BH978">
        <v>38590.089999999997</v>
      </c>
      <c r="BI978">
        <v>104944.91</v>
      </c>
      <c r="BJ978">
        <v>28080.33</v>
      </c>
      <c r="BK978">
        <v>36601.86</v>
      </c>
      <c r="BL978">
        <v>27864.31</v>
      </c>
      <c r="BM978">
        <v>3712.09</v>
      </c>
      <c r="BN978">
        <v>175170.07</v>
      </c>
      <c r="BO978">
        <v>16821.490000000002</v>
      </c>
      <c r="BP978" s="3">
        <v>45696</v>
      </c>
      <c r="BQ978">
        <v>240</v>
      </c>
      <c r="BR978" s="3">
        <v>45496</v>
      </c>
      <c r="BS978" t="s">
        <v>1137</v>
      </c>
    </row>
    <row r="979" spans="1:71" x14ac:dyDescent="0.25">
      <c r="A979" t="s">
        <v>1135</v>
      </c>
      <c r="B979" t="s">
        <v>293</v>
      </c>
      <c r="C979" s="2">
        <f>HYPERLINK("https://szao.dolgi.msk.ru/account/3470236767/", 3470236767)</f>
        <v>3470236767</v>
      </c>
      <c r="D979" t="s">
        <v>29</v>
      </c>
      <c r="E979">
        <v>18981.939999999999</v>
      </c>
      <c r="AX979">
        <v>4.26</v>
      </c>
      <c r="AY979">
        <v>4.8</v>
      </c>
      <c r="AZ979" t="s">
        <v>40</v>
      </c>
      <c r="BA979" t="s">
        <v>49</v>
      </c>
      <c r="BB979">
        <v>18981.939999999999</v>
      </c>
      <c r="BC979">
        <v>18981.939999999999</v>
      </c>
      <c r="BD979">
        <v>18981.939999999999</v>
      </c>
      <c r="BE979">
        <v>18981.939999999999</v>
      </c>
      <c r="BF979">
        <v>15025.78</v>
      </c>
      <c r="BG979">
        <v>4078.97</v>
      </c>
      <c r="BH979">
        <v>790.46</v>
      </c>
      <c r="BI979">
        <v>6034.06</v>
      </c>
      <c r="BJ979">
        <v>1699.33</v>
      </c>
      <c r="BK979">
        <v>1911.48</v>
      </c>
      <c r="BL979">
        <v>3695.2</v>
      </c>
      <c r="BM979">
        <v>772.44</v>
      </c>
      <c r="BP979" s="3">
        <v>45643</v>
      </c>
      <c r="BQ979">
        <v>3559.53</v>
      </c>
    </row>
    <row r="980" spans="1:71" x14ac:dyDescent="0.25">
      <c r="A980" t="s">
        <v>1135</v>
      </c>
      <c r="B980" t="s">
        <v>359</v>
      </c>
      <c r="C980" s="2">
        <f>HYPERLINK("https://szao.dolgi.msk.ru/account/3470236943/", 3470236943)</f>
        <v>3470236943</v>
      </c>
      <c r="D980" t="s">
        <v>29</v>
      </c>
      <c r="E980">
        <v>5189.37</v>
      </c>
      <c r="AX980">
        <v>2.04</v>
      </c>
      <c r="AY980">
        <v>1.34</v>
      </c>
      <c r="AZ980" t="s">
        <v>30</v>
      </c>
      <c r="BA980" t="s">
        <v>31</v>
      </c>
      <c r="BB980">
        <v>5189.37</v>
      </c>
      <c r="BC980">
        <v>5189.37</v>
      </c>
      <c r="BD980">
        <v>8288.41</v>
      </c>
      <c r="BE980">
        <v>8288.41</v>
      </c>
      <c r="BF980">
        <v>1328.8</v>
      </c>
      <c r="BG980">
        <v>4072.8</v>
      </c>
      <c r="BH980">
        <v>-525.48</v>
      </c>
      <c r="BI980">
        <v>-510.53</v>
      </c>
      <c r="BJ980">
        <v>-917.64</v>
      </c>
      <c r="BK980">
        <v>-1145.3900000000001</v>
      </c>
      <c r="BL980">
        <v>3470.21</v>
      </c>
      <c r="BM980">
        <v>745.4</v>
      </c>
      <c r="BN980">
        <v>9202.67</v>
      </c>
      <c r="BP980" s="3">
        <v>45682</v>
      </c>
      <c r="BQ980">
        <v>9202.67</v>
      </c>
      <c r="BR980" s="3">
        <v>45509</v>
      </c>
      <c r="BS980" t="s">
        <v>1138</v>
      </c>
    </row>
    <row r="981" spans="1:71" x14ac:dyDescent="0.25">
      <c r="A981" t="s">
        <v>1139</v>
      </c>
      <c r="B981" t="s">
        <v>173</v>
      </c>
      <c r="C981" s="2">
        <f>HYPERLINK("https://szao.dolgi.msk.ru/account/3470239335/", 3470239335)</f>
        <v>3470239335</v>
      </c>
      <c r="D981" t="s">
        <v>29</v>
      </c>
      <c r="E981">
        <v>16178.98</v>
      </c>
      <c r="AX981">
        <v>3.59</v>
      </c>
      <c r="AY981">
        <v>4.33</v>
      </c>
      <c r="AZ981" t="s">
        <v>30</v>
      </c>
      <c r="BA981" t="s">
        <v>49</v>
      </c>
      <c r="BB981">
        <v>16178.98</v>
      </c>
      <c r="BC981">
        <v>16178.98</v>
      </c>
      <c r="BD981">
        <v>16178.98</v>
      </c>
      <c r="BE981">
        <v>16178.98</v>
      </c>
      <c r="BF981">
        <v>16474.259999999998</v>
      </c>
      <c r="BG981">
        <v>3081.8</v>
      </c>
      <c r="BH981">
        <v>1915.21</v>
      </c>
      <c r="BI981">
        <v>4231.72</v>
      </c>
      <c r="BJ981">
        <v>1191.75</v>
      </c>
      <c r="BK981">
        <v>2385.3000000000002</v>
      </c>
      <c r="BL981">
        <v>2815.68</v>
      </c>
      <c r="BM981">
        <v>557.52</v>
      </c>
      <c r="BP981" s="3">
        <v>45652</v>
      </c>
      <c r="BQ981">
        <v>16474.259999999998</v>
      </c>
    </row>
    <row r="982" spans="1:71" x14ac:dyDescent="0.25">
      <c r="A982" t="s">
        <v>1139</v>
      </c>
      <c r="B982" t="s">
        <v>85</v>
      </c>
      <c r="C982" s="2">
        <f>HYPERLINK("https://szao.dolgi.msk.ru/account/3470239706/", 3470239706)</f>
        <v>3470239706</v>
      </c>
      <c r="D982" t="s">
        <v>29</v>
      </c>
      <c r="E982">
        <v>6030.65</v>
      </c>
      <c r="AX982">
        <v>2.16</v>
      </c>
      <c r="AY982">
        <v>2.27</v>
      </c>
      <c r="AZ982" t="s">
        <v>30</v>
      </c>
      <c r="BA982" t="s">
        <v>31</v>
      </c>
      <c r="BB982">
        <v>6030.65</v>
      </c>
      <c r="BC982">
        <v>6030.65</v>
      </c>
      <c r="BD982">
        <v>6030.65</v>
      </c>
      <c r="BE982">
        <v>6030.65</v>
      </c>
      <c r="BF982">
        <v>3378.82</v>
      </c>
      <c r="BG982">
        <v>3122.36</v>
      </c>
      <c r="BH982">
        <v>602.97</v>
      </c>
      <c r="BI982">
        <v>89.18</v>
      </c>
      <c r="BJ982">
        <v>25.12</v>
      </c>
      <c r="BK982">
        <v>482.2</v>
      </c>
      <c r="BL982">
        <v>1426.38</v>
      </c>
      <c r="BM982">
        <v>282.44</v>
      </c>
      <c r="BP982" s="3">
        <v>45639</v>
      </c>
      <c r="BQ982">
        <v>22091.38</v>
      </c>
      <c r="BR982" s="3">
        <v>45568</v>
      </c>
      <c r="BS982" t="s">
        <v>1140</v>
      </c>
    </row>
    <row r="983" spans="1:71" x14ac:dyDescent="0.25">
      <c r="A983" t="s">
        <v>1139</v>
      </c>
      <c r="B983" t="s">
        <v>282</v>
      </c>
      <c r="C983" s="2">
        <f>HYPERLINK("https://szao.dolgi.msk.ru/account/3470239853/", 3470239853)</f>
        <v>3470239853</v>
      </c>
      <c r="D983" t="s">
        <v>29</v>
      </c>
      <c r="E983">
        <v>53449.29</v>
      </c>
      <c r="AX983">
        <v>8.75</v>
      </c>
      <c r="AY983">
        <v>8.6999999999999993</v>
      </c>
      <c r="AZ983" t="s">
        <v>45</v>
      </c>
      <c r="BA983" t="s">
        <v>66</v>
      </c>
      <c r="BB983">
        <v>53449.29</v>
      </c>
      <c r="BC983">
        <v>53449.29</v>
      </c>
      <c r="BD983">
        <v>53449.29</v>
      </c>
      <c r="BE983">
        <v>53449.29</v>
      </c>
      <c r="BF983">
        <v>47303.17</v>
      </c>
      <c r="BG983">
        <v>23202.91</v>
      </c>
      <c r="BH983">
        <v>368.77</v>
      </c>
      <c r="BI983">
        <v>1212.4100000000001</v>
      </c>
      <c r="BJ983">
        <v>337.25</v>
      </c>
      <c r="BK983">
        <v>560.09</v>
      </c>
      <c r="BL983">
        <v>23073.43</v>
      </c>
      <c r="BM983">
        <v>4694.43</v>
      </c>
      <c r="BP983" s="3">
        <v>45420</v>
      </c>
      <c r="BQ983">
        <v>4868.1000000000004</v>
      </c>
      <c r="BR983" s="3">
        <v>45502</v>
      </c>
      <c r="BS983" t="s">
        <v>1141</v>
      </c>
    </row>
    <row r="984" spans="1:71" x14ac:dyDescent="0.25">
      <c r="A984" t="s">
        <v>1139</v>
      </c>
      <c r="B984" t="s">
        <v>203</v>
      </c>
      <c r="C984" s="2">
        <f>HYPERLINK("https://szao.dolgi.msk.ru/account/3470240088/", 3470240088)</f>
        <v>3470240088</v>
      </c>
      <c r="D984" t="s">
        <v>29</v>
      </c>
      <c r="E984">
        <v>7374.57</v>
      </c>
      <c r="AX984">
        <v>4.71</v>
      </c>
      <c r="AY984">
        <v>2.11</v>
      </c>
      <c r="AZ984" t="s">
        <v>40</v>
      </c>
      <c r="BA984" t="s">
        <v>49</v>
      </c>
      <c r="BB984">
        <v>7374.57</v>
      </c>
      <c r="BC984">
        <v>7374.57</v>
      </c>
      <c r="BD984">
        <v>7374.57</v>
      </c>
      <c r="BE984">
        <v>7374.57</v>
      </c>
      <c r="BF984">
        <v>3877.09</v>
      </c>
      <c r="BG984">
        <v>3138.57</v>
      </c>
      <c r="BH984">
        <v>53.93</v>
      </c>
      <c r="BI984">
        <v>484.37</v>
      </c>
      <c r="BJ984">
        <v>125.5</v>
      </c>
      <c r="BK984">
        <v>136.86000000000001</v>
      </c>
      <c r="BL984">
        <v>2867.56</v>
      </c>
      <c r="BM984">
        <v>567.78</v>
      </c>
      <c r="BP984" s="3">
        <v>45653</v>
      </c>
      <c r="BQ984">
        <v>3076.43</v>
      </c>
    </row>
    <row r="985" spans="1:71" x14ac:dyDescent="0.25">
      <c r="A985" t="s">
        <v>1142</v>
      </c>
      <c r="B985" t="s">
        <v>34</v>
      </c>
      <c r="C985" s="2">
        <f>HYPERLINK("https://szao.dolgi.msk.ru/account/3470240459/", 3470240459)</f>
        <v>3470240459</v>
      </c>
      <c r="D985" t="s">
        <v>29</v>
      </c>
      <c r="E985">
        <v>35770.410000000003</v>
      </c>
      <c r="AX985">
        <v>2.04</v>
      </c>
      <c r="AY985">
        <v>2.06</v>
      </c>
      <c r="AZ985" t="s">
        <v>40</v>
      </c>
      <c r="BA985" t="s">
        <v>31</v>
      </c>
      <c r="BB985">
        <v>35770.410000000003</v>
      </c>
      <c r="BC985">
        <v>35770.410000000003</v>
      </c>
      <c r="BD985">
        <v>35770.410000000003</v>
      </c>
      <c r="BE985">
        <v>35770.410000000003</v>
      </c>
      <c r="BF985">
        <v>18433.68</v>
      </c>
      <c r="BG985">
        <v>5109.3</v>
      </c>
      <c r="BH985">
        <v>4218.1499999999996</v>
      </c>
      <c r="BI985">
        <v>11688.84</v>
      </c>
      <c r="BJ985">
        <v>3291.65</v>
      </c>
      <c r="BK985">
        <v>5768.31</v>
      </c>
      <c r="BL985">
        <v>4769.8599999999997</v>
      </c>
      <c r="BM985">
        <v>924.3</v>
      </c>
      <c r="BP985" s="3">
        <v>45653</v>
      </c>
      <c r="BQ985">
        <v>18512.490000000002</v>
      </c>
      <c r="BR985" s="3">
        <v>45682</v>
      </c>
      <c r="BS985" t="s">
        <v>1143</v>
      </c>
    </row>
    <row r="986" spans="1:71" x14ac:dyDescent="0.25">
      <c r="A986" t="s">
        <v>1142</v>
      </c>
      <c r="B986" t="s">
        <v>385</v>
      </c>
      <c r="C986" s="2">
        <f>HYPERLINK("https://szao.dolgi.msk.ru/account/3470240416/", 3470240416)</f>
        <v>3470240416</v>
      </c>
      <c r="D986" t="s">
        <v>29</v>
      </c>
      <c r="E986">
        <v>32356.95</v>
      </c>
      <c r="AX986">
        <v>6.33</v>
      </c>
      <c r="AY986">
        <v>6.19</v>
      </c>
      <c r="AZ986" t="s">
        <v>40</v>
      </c>
      <c r="BA986" t="s">
        <v>66</v>
      </c>
      <c r="BB986">
        <v>32356.95</v>
      </c>
      <c r="BC986">
        <v>32356.95</v>
      </c>
      <c r="BD986">
        <v>32356.95</v>
      </c>
      <c r="BE986">
        <v>32356.95</v>
      </c>
      <c r="BF986">
        <v>27126.09</v>
      </c>
      <c r="BG986">
        <v>13712.72</v>
      </c>
      <c r="BH986">
        <v>2740.58</v>
      </c>
      <c r="BI986">
        <v>3598.86</v>
      </c>
      <c r="BJ986">
        <v>1014.41</v>
      </c>
      <c r="BK986">
        <v>2879.57</v>
      </c>
      <c r="BL986">
        <v>7032.64</v>
      </c>
      <c r="BM986">
        <v>1378.17</v>
      </c>
      <c r="BN986">
        <v>3518.43</v>
      </c>
      <c r="BP986" s="3">
        <v>45680</v>
      </c>
      <c r="BQ986">
        <v>3518.43</v>
      </c>
      <c r="BR986" s="3">
        <v>44887</v>
      </c>
      <c r="BS986" t="s">
        <v>1144</v>
      </c>
    </row>
    <row r="987" spans="1:71" x14ac:dyDescent="0.25">
      <c r="A987" t="s">
        <v>1142</v>
      </c>
      <c r="B987" t="s">
        <v>194</v>
      </c>
      <c r="C987" s="2">
        <f>HYPERLINK("https://szao.dolgi.msk.ru/account/3470240512/", 3470240512)</f>
        <v>3470240512</v>
      </c>
      <c r="D987" t="s">
        <v>29</v>
      </c>
      <c r="E987">
        <v>134407.04999999999</v>
      </c>
      <c r="AX987">
        <v>41.93</v>
      </c>
      <c r="AY987">
        <v>33.119999999999997</v>
      </c>
      <c r="AZ987" t="s">
        <v>56</v>
      </c>
      <c r="BA987" t="s">
        <v>36</v>
      </c>
      <c r="BB987">
        <v>134407.04999999999</v>
      </c>
      <c r="BC987">
        <v>134407.04999999999</v>
      </c>
      <c r="BD987">
        <v>152559</v>
      </c>
      <c r="BE987">
        <v>152559</v>
      </c>
      <c r="BF987">
        <v>130349.46</v>
      </c>
      <c r="BG987">
        <v>69923.48</v>
      </c>
      <c r="BH987">
        <v>-104.9</v>
      </c>
      <c r="BI987">
        <v>0</v>
      </c>
      <c r="BJ987">
        <v>0</v>
      </c>
      <c r="BK987">
        <v>-18047.05</v>
      </c>
      <c r="BL987">
        <v>70622.02</v>
      </c>
      <c r="BM987">
        <v>12013.5</v>
      </c>
      <c r="BP987" s="3">
        <v>42919</v>
      </c>
      <c r="BQ987">
        <v>32950.39</v>
      </c>
    </row>
    <row r="988" spans="1:71" x14ac:dyDescent="0.25">
      <c r="A988" t="s">
        <v>1142</v>
      </c>
      <c r="B988" t="s">
        <v>374</v>
      </c>
      <c r="C988" s="2">
        <f>HYPERLINK("https://szao.dolgi.msk.ru/account/3470240627/", 3470240627)</f>
        <v>3470240627</v>
      </c>
      <c r="D988" t="s">
        <v>29</v>
      </c>
      <c r="E988">
        <v>12488.43</v>
      </c>
      <c r="AX988">
        <v>3.02</v>
      </c>
      <c r="AY988">
        <v>3.08</v>
      </c>
      <c r="AZ988" t="s">
        <v>40</v>
      </c>
      <c r="BA988" t="s">
        <v>49</v>
      </c>
      <c r="BB988">
        <v>12488.43</v>
      </c>
      <c r="BC988">
        <v>12488.43</v>
      </c>
      <c r="BD988">
        <v>12488.43</v>
      </c>
      <c r="BE988">
        <v>12488.43</v>
      </c>
      <c r="BF988">
        <v>8438.5</v>
      </c>
      <c r="BG988">
        <v>5159.72</v>
      </c>
      <c r="BH988">
        <v>1860.66</v>
      </c>
      <c r="BI988">
        <v>687.5</v>
      </c>
      <c r="BJ988">
        <v>193.62</v>
      </c>
      <c r="BK988">
        <v>1577.12</v>
      </c>
      <c r="BL988">
        <v>2521.23</v>
      </c>
      <c r="BM988">
        <v>488.58</v>
      </c>
      <c r="BP988" s="3">
        <v>45639</v>
      </c>
      <c r="BQ988">
        <v>3831.59</v>
      </c>
    </row>
    <row r="989" spans="1:71" x14ac:dyDescent="0.25">
      <c r="A989" t="s">
        <v>1142</v>
      </c>
      <c r="B989" t="s">
        <v>129</v>
      </c>
      <c r="C989" s="2">
        <f>HYPERLINK("https://szao.dolgi.msk.ru/account/3470241056/", 3470241056)</f>
        <v>3470241056</v>
      </c>
      <c r="D989" t="s">
        <v>29</v>
      </c>
      <c r="E989">
        <v>161572.79999999999</v>
      </c>
      <c r="AX989">
        <v>30.03</v>
      </c>
      <c r="AY989">
        <v>29.44</v>
      </c>
      <c r="AZ989" t="s">
        <v>56</v>
      </c>
      <c r="BA989" t="s">
        <v>36</v>
      </c>
      <c r="BB989">
        <v>161572.79999999999</v>
      </c>
      <c r="BC989">
        <v>161572.79999999999</v>
      </c>
      <c r="BD989">
        <v>161572.79999999999</v>
      </c>
      <c r="BE989">
        <v>161572.79999999999</v>
      </c>
      <c r="BF989">
        <v>156084.5</v>
      </c>
      <c r="BG989">
        <v>43450.6</v>
      </c>
      <c r="BH989">
        <v>12569.42</v>
      </c>
      <c r="BI989">
        <v>30468.13</v>
      </c>
      <c r="BJ989">
        <v>8165.65</v>
      </c>
      <c r="BK989">
        <v>15116.15</v>
      </c>
      <c r="BL989">
        <v>42192.08</v>
      </c>
      <c r="BM989">
        <v>9610.77</v>
      </c>
      <c r="BN989">
        <v>4450.99</v>
      </c>
      <c r="BP989" s="3">
        <v>45683</v>
      </c>
      <c r="BQ989">
        <v>4000</v>
      </c>
      <c r="BR989" s="3">
        <v>45636</v>
      </c>
      <c r="BS989" t="s">
        <v>1145</v>
      </c>
    </row>
    <row r="990" spans="1:71" x14ac:dyDescent="0.25">
      <c r="A990" t="s">
        <v>1146</v>
      </c>
      <c r="B990" t="s">
        <v>34</v>
      </c>
      <c r="C990" s="2">
        <f>HYPERLINK("https://szao.dolgi.msk.ru/account/3470559822/", 3470559822)</f>
        <v>3470559822</v>
      </c>
      <c r="D990" t="s">
        <v>29</v>
      </c>
      <c r="E990">
        <v>10087.07</v>
      </c>
      <c r="AX990">
        <v>4.3099999999999996</v>
      </c>
      <c r="AY990">
        <v>4.74</v>
      </c>
      <c r="AZ990" t="s">
        <v>40</v>
      </c>
      <c r="BA990" t="s">
        <v>49</v>
      </c>
      <c r="BB990">
        <v>10087.07</v>
      </c>
      <c r="BC990">
        <v>10087.07</v>
      </c>
      <c r="BD990">
        <v>12362.93</v>
      </c>
      <c r="BE990">
        <v>12362.93</v>
      </c>
      <c r="BF990">
        <v>7959.55</v>
      </c>
      <c r="BG990">
        <v>819.52</v>
      </c>
      <c r="BH990">
        <v>-2275.86</v>
      </c>
      <c r="BI990">
        <v>8291.09</v>
      </c>
      <c r="BJ990">
        <v>2445.21</v>
      </c>
      <c r="BK990">
        <v>101.35</v>
      </c>
      <c r="BL990">
        <v>529.20000000000005</v>
      </c>
      <c r="BM990">
        <v>176.56</v>
      </c>
      <c r="BN990">
        <v>1940.88</v>
      </c>
      <c r="BP990" s="3">
        <v>45672</v>
      </c>
      <c r="BQ990">
        <v>1940.88</v>
      </c>
      <c r="BR990" s="3">
        <v>45561</v>
      </c>
      <c r="BS990" t="s">
        <v>1147</v>
      </c>
    </row>
    <row r="991" spans="1:71" x14ac:dyDescent="0.25">
      <c r="A991" t="s">
        <v>1146</v>
      </c>
      <c r="B991" t="s">
        <v>147</v>
      </c>
      <c r="C991" s="2">
        <f>HYPERLINK("https://szao.dolgi.msk.ru/account/3470319386/", 3470319386)</f>
        <v>3470319386</v>
      </c>
      <c r="D991" t="s">
        <v>29</v>
      </c>
      <c r="E991">
        <v>3355.96</v>
      </c>
      <c r="AX991">
        <v>2.73</v>
      </c>
      <c r="AY991">
        <v>2.68</v>
      </c>
      <c r="AZ991" t="s">
        <v>40</v>
      </c>
      <c r="BA991" t="s">
        <v>31</v>
      </c>
      <c r="BB991">
        <v>3355.96</v>
      </c>
      <c r="BC991">
        <v>3355.96</v>
      </c>
      <c r="BD991">
        <v>3495.14</v>
      </c>
      <c r="BE991">
        <v>3495.14</v>
      </c>
      <c r="BF991">
        <v>2103.36</v>
      </c>
      <c r="BG991">
        <v>1646.19</v>
      </c>
      <c r="BH991">
        <v>25.91</v>
      </c>
      <c r="BI991">
        <v>0</v>
      </c>
      <c r="BJ991">
        <v>0</v>
      </c>
      <c r="BK991">
        <v>19.89</v>
      </c>
      <c r="BL991">
        <v>1803.15</v>
      </c>
      <c r="BM991">
        <v>-139.18</v>
      </c>
      <c r="BP991" s="3">
        <v>45614</v>
      </c>
      <c r="BQ991">
        <v>3145.31</v>
      </c>
      <c r="BR991" s="3">
        <v>45504</v>
      </c>
      <c r="BS991" t="s">
        <v>1148</v>
      </c>
    </row>
    <row r="992" spans="1:71" x14ac:dyDescent="0.25">
      <c r="A992" t="s">
        <v>1146</v>
      </c>
      <c r="B992" t="s">
        <v>85</v>
      </c>
      <c r="C992" s="2">
        <f>HYPERLINK("https://szao.dolgi.msk.ru/account/3470250331/", 3470250331)</f>
        <v>3470250331</v>
      </c>
      <c r="D992" t="s">
        <v>29</v>
      </c>
      <c r="E992">
        <v>34432.47</v>
      </c>
      <c r="AX992">
        <v>5.52</v>
      </c>
      <c r="AY992">
        <v>5.52</v>
      </c>
      <c r="AZ992" t="s">
        <v>69</v>
      </c>
      <c r="BA992" t="s">
        <v>49</v>
      </c>
      <c r="BB992">
        <v>34432.47</v>
      </c>
      <c r="BC992">
        <v>34432.47</v>
      </c>
      <c r="BD992">
        <v>34432.47</v>
      </c>
      <c r="BE992">
        <v>34432.47</v>
      </c>
      <c r="BF992">
        <v>28197.94</v>
      </c>
      <c r="BG992">
        <v>9557.07</v>
      </c>
      <c r="BH992">
        <v>2477.89</v>
      </c>
      <c r="BI992">
        <v>4406.05</v>
      </c>
      <c r="BJ992">
        <v>1239.95</v>
      </c>
      <c r="BK992">
        <v>2854.43</v>
      </c>
      <c r="BL992">
        <v>11203.38</v>
      </c>
      <c r="BM992">
        <v>2693.7</v>
      </c>
      <c r="BP992" s="3">
        <v>45566</v>
      </c>
      <c r="BQ992">
        <v>11961.99</v>
      </c>
    </row>
    <row r="993" spans="1:71" x14ac:dyDescent="0.25">
      <c r="A993" t="s">
        <v>1146</v>
      </c>
      <c r="B993" t="s">
        <v>376</v>
      </c>
      <c r="C993" s="2">
        <f>HYPERLINK("https://szao.dolgi.msk.ru/account/3470319597/", 3470319597)</f>
        <v>3470319597</v>
      </c>
      <c r="D993" t="s">
        <v>29</v>
      </c>
      <c r="E993">
        <v>89497.11</v>
      </c>
      <c r="AX993">
        <v>22.35</v>
      </c>
      <c r="AY993">
        <v>22.36</v>
      </c>
      <c r="AZ993" t="s">
        <v>56</v>
      </c>
      <c r="BA993" t="s">
        <v>36</v>
      </c>
      <c r="BB993">
        <v>89497.11</v>
      </c>
      <c r="BC993">
        <v>89497.11</v>
      </c>
      <c r="BD993">
        <v>89497.11</v>
      </c>
      <c r="BE993">
        <v>89497.11</v>
      </c>
      <c r="BF993">
        <v>85495.26</v>
      </c>
      <c r="BG993">
        <v>31755.89</v>
      </c>
      <c r="BH993">
        <v>2197.59</v>
      </c>
      <c r="BI993">
        <v>4593.83</v>
      </c>
      <c r="BJ993">
        <v>1232.78</v>
      </c>
      <c r="BK993">
        <v>2680.93</v>
      </c>
      <c r="BL993">
        <v>37731.68</v>
      </c>
      <c r="BM993">
        <v>9304.41</v>
      </c>
      <c r="BP993" s="3">
        <v>44937</v>
      </c>
      <c r="BQ993">
        <v>3019.7</v>
      </c>
      <c r="BR993" s="3">
        <v>45537</v>
      </c>
      <c r="BS993" t="s">
        <v>1149</v>
      </c>
    </row>
    <row r="994" spans="1:71" x14ac:dyDescent="0.25">
      <c r="A994" t="s">
        <v>1150</v>
      </c>
      <c r="B994" t="s">
        <v>34</v>
      </c>
      <c r="C994" s="2">
        <f>HYPERLINK("https://szao.dolgi.msk.ru/account/3470353576/", 3470353576)</f>
        <v>3470353576</v>
      </c>
      <c r="D994" t="s">
        <v>29</v>
      </c>
      <c r="E994">
        <v>28347.85</v>
      </c>
      <c r="AX994">
        <v>2.41</v>
      </c>
      <c r="AY994">
        <v>2.38</v>
      </c>
      <c r="AZ994" t="s">
        <v>40</v>
      </c>
      <c r="BA994" t="s">
        <v>31</v>
      </c>
      <c r="BB994">
        <v>28347.85</v>
      </c>
      <c r="BC994">
        <v>28347.85</v>
      </c>
      <c r="BD994">
        <v>28349.79</v>
      </c>
      <c r="BE994">
        <v>28349.79</v>
      </c>
      <c r="BF994">
        <v>16458.689999999999</v>
      </c>
      <c r="BG994">
        <v>9782.86</v>
      </c>
      <c r="BH994">
        <v>4218.1099999999997</v>
      </c>
      <c r="BI994">
        <v>0</v>
      </c>
      <c r="BJ994">
        <v>-1.94</v>
      </c>
      <c r="BK994">
        <v>3286.86</v>
      </c>
      <c r="BL994">
        <v>9239.6200000000008</v>
      </c>
      <c r="BM994">
        <v>1822.34</v>
      </c>
      <c r="BN994">
        <v>21555.07</v>
      </c>
      <c r="BP994" s="3">
        <v>45687</v>
      </c>
      <c r="BQ994">
        <v>21555.07</v>
      </c>
    </row>
    <row r="995" spans="1:71" x14ac:dyDescent="0.25">
      <c r="A995" t="s">
        <v>1150</v>
      </c>
      <c r="B995" t="s">
        <v>194</v>
      </c>
      <c r="C995" s="2">
        <f>HYPERLINK("https://szao.dolgi.msk.ru/account/3470353859/", 3470353859)</f>
        <v>3470353859</v>
      </c>
      <c r="D995" t="s">
        <v>29</v>
      </c>
      <c r="E995">
        <v>61617.93</v>
      </c>
      <c r="AX995">
        <v>5.21</v>
      </c>
      <c r="AY995">
        <v>5.17</v>
      </c>
      <c r="AZ995" t="s">
        <v>69</v>
      </c>
      <c r="BA995" t="s">
        <v>49</v>
      </c>
      <c r="BB995">
        <v>61617.93</v>
      </c>
      <c r="BC995">
        <v>61617.93</v>
      </c>
      <c r="BD995">
        <v>61617.93</v>
      </c>
      <c r="BE995">
        <v>61617.93</v>
      </c>
      <c r="BF995">
        <v>49702.2</v>
      </c>
      <c r="BG995">
        <v>13270.25</v>
      </c>
      <c r="BH995">
        <v>17482.88</v>
      </c>
      <c r="BI995">
        <v>0</v>
      </c>
      <c r="BJ995">
        <v>0</v>
      </c>
      <c r="BK995">
        <v>13422.08</v>
      </c>
      <c r="BL995">
        <v>14806.26</v>
      </c>
      <c r="BM995">
        <v>2636.46</v>
      </c>
      <c r="BP995" s="3">
        <v>45541</v>
      </c>
      <c r="BQ995">
        <v>74783.48</v>
      </c>
      <c r="BR995" s="3">
        <v>45539</v>
      </c>
      <c r="BS995" t="s">
        <v>1151</v>
      </c>
    </row>
    <row r="996" spans="1:71" x14ac:dyDescent="0.25">
      <c r="A996" t="s">
        <v>1150</v>
      </c>
      <c r="B996" t="s">
        <v>223</v>
      </c>
      <c r="C996" s="2">
        <f>HYPERLINK("https://szao.dolgi.msk.ru/account/3470353867/", 3470353867)</f>
        <v>3470353867</v>
      </c>
      <c r="D996" t="s">
        <v>29</v>
      </c>
      <c r="E996">
        <v>9488.9599999999991</v>
      </c>
      <c r="AX996">
        <v>2.2400000000000002</v>
      </c>
      <c r="AY996">
        <v>1.96</v>
      </c>
      <c r="AZ996" t="s">
        <v>69</v>
      </c>
      <c r="BA996" t="s">
        <v>31</v>
      </c>
      <c r="BB996">
        <v>9488.9599999999991</v>
      </c>
      <c r="BC996">
        <v>9488.9599999999991</v>
      </c>
      <c r="BD996">
        <v>13273.68</v>
      </c>
      <c r="BE996">
        <v>13273.68</v>
      </c>
      <c r="BF996">
        <v>4652.95</v>
      </c>
      <c r="BG996">
        <v>5891.85</v>
      </c>
      <c r="BH996">
        <v>-2119.06</v>
      </c>
      <c r="BI996">
        <v>0</v>
      </c>
      <c r="BJ996">
        <v>0</v>
      </c>
      <c r="BK996">
        <v>-1665.66</v>
      </c>
      <c r="BL996">
        <v>6266.07</v>
      </c>
      <c r="BM996">
        <v>1115.76</v>
      </c>
      <c r="BP996" s="3">
        <v>45595</v>
      </c>
      <c r="BQ996">
        <v>4240.6899999999996</v>
      </c>
    </row>
    <row r="997" spans="1:71" x14ac:dyDescent="0.25">
      <c r="A997" t="s">
        <v>1150</v>
      </c>
      <c r="B997" t="s">
        <v>354</v>
      </c>
      <c r="C997" s="2">
        <f>HYPERLINK("https://szao.dolgi.msk.ru/account/3470408717/", 3470408717)</f>
        <v>3470408717</v>
      </c>
      <c r="D997" t="s">
        <v>29</v>
      </c>
      <c r="E997">
        <v>4389.8999999999996</v>
      </c>
      <c r="AX997">
        <v>6.55</v>
      </c>
      <c r="AY997">
        <v>1.27</v>
      </c>
      <c r="AZ997" t="s">
        <v>45</v>
      </c>
      <c r="BA997" t="s">
        <v>66</v>
      </c>
      <c r="BB997">
        <v>4389.8999999999996</v>
      </c>
      <c r="BC997">
        <v>4389.8999999999996</v>
      </c>
      <c r="BD997">
        <v>4946.87</v>
      </c>
      <c r="BE997">
        <v>4946.87</v>
      </c>
      <c r="BF997">
        <v>929.53</v>
      </c>
      <c r="BG997">
        <v>3851.7</v>
      </c>
      <c r="BH997">
        <v>243.6</v>
      </c>
      <c r="BI997">
        <v>0</v>
      </c>
      <c r="BJ997">
        <v>0</v>
      </c>
      <c r="BK997">
        <v>-556.97</v>
      </c>
      <c r="BL997">
        <v>556.16</v>
      </c>
      <c r="BM997">
        <v>295.41000000000003</v>
      </c>
      <c r="BN997">
        <v>1603.16</v>
      </c>
      <c r="BP997" s="3">
        <v>45685</v>
      </c>
      <c r="BQ997">
        <v>1603.16</v>
      </c>
      <c r="BR997" s="3">
        <v>45481</v>
      </c>
      <c r="BS997" t="s">
        <v>1152</v>
      </c>
    </row>
    <row r="998" spans="1:71" x14ac:dyDescent="0.25">
      <c r="A998" t="s">
        <v>1150</v>
      </c>
      <c r="B998" t="s">
        <v>354</v>
      </c>
      <c r="C998" s="2">
        <f>HYPERLINK("https://szao.dolgi.msk.ru/account/3470548461/", 3470548461)</f>
        <v>3470548461</v>
      </c>
      <c r="D998" t="s">
        <v>29</v>
      </c>
      <c r="E998">
        <v>92153.19</v>
      </c>
      <c r="AX998">
        <v>28.69</v>
      </c>
      <c r="AY998">
        <v>26.63</v>
      </c>
      <c r="AZ998" t="s">
        <v>45</v>
      </c>
      <c r="BA998" t="s">
        <v>36</v>
      </c>
      <c r="BB998">
        <v>92153.19</v>
      </c>
      <c r="BC998">
        <v>92153.19</v>
      </c>
      <c r="BD998">
        <v>92153.19</v>
      </c>
      <c r="BE998">
        <v>92153.19</v>
      </c>
      <c r="BF998">
        <v>88692.82</v>
      </c>
      <c r="BG998">
        <v>31983.65</v>
      </c>
      <c r="BH998">
        <v>19728.25</v>
      </c>
      <c r="BI998">
        <v>0</v>
      </c>
      <c r="BJ998">
        <v>0</v>
      </c>
      <c r="BK998">
        <v>15173.29</v>
      </c>
      <c r="BL998">
        <v>23176.19</v>
      </c>
      <c r="BM998">
        <v>2091.81</v>
      </c>
      <c r="BP998" s="3">
        <v>45596</v>
      </c>
      <c r="BQ998">
        <v>0</v>
      </c>
      <c r="BR998" s="3">
        <v>45554</v>
      </c>
      <c r="BS998" t="s">
        <v>1153</v>
      </c>
    </row>
    <row r="999" spans="1:71" x14ac:dyDescent="0.25">
      <c r="A999" t="s">
        <v>1150</v>
      </c>
      <c r="B999" t="s">
        <v>483</v>
      </c>
      <c r="C999" s="2">
        <f>HYPERLINK("https://szao.dolgi.msk.ru/account/3470354325/", 3470354325)</f>
        <v>3470354325</v>
      </c>
      <c r="D999" t="s">
        <v>29</v>
      </c>
      <c r="E999">
        <v>186464.72</v>
      </c>
      <c r="AX999">
        <v>43</v>
      </c>
      <c r="AY999">
        <v>34.76</v>
      </c>
      <c r="AZ999" t="s">
        <v>40</v>
      </c>
      <c r="BA999" t="s">
        <v>36</v>
      </c>
      <c r="BB999">
        <v>186464.72</v>
      </c>
      <c r="BC999">
        <v>186464.72</v>
      </c>
      <c r="BD999">
        <v>186464.72</v>
      </c>
      <c r="BE999">
        <v>186464.72</v>
      </c>
      <c r="BF999">
        <v>181554.77</v>
      </c>
      <c r="BG999">
        <v>81510.289999999994</v>
      </c>
      <c r="BH999">
        <v>18276.82</v>
      </c>
      <c r="BI999">
        <v>0</v>
      </c>
      <c r="BJ999">
        <v>0</v>
      </c>
      <c r="BK999">
        <v>24962.639999999999</v>
      </c>
      <c r="BL999">
        <v>54319.47</v>
      </c>
      <c r="BM999">
        <v>7395.5</v>
      </c>
      <c r="BN999">
        <v>454.42</v>
      </c>
      <c r="BO999">
        <v>5364.37</v>
      </c>
      <c r="BP999" s="3">
        <v>45698</v>
      </c>
      <c r="BQ999">
        <v>454.42</v>
      </c>
      <c r="BR999" s="3">
        <v>45355</v>
      </c>
      <c r="BS999" t="s">
        <v>1154</v>
      </c>
    </row>
    <row r="1000" spans="1:71" x14ac:dyDescent="0.25">
      <c r="A1000" t="s">
        <v>1150</v>
      </c>
      <c r="B1000" t="s">
        <v>131</v>
      </c>
      <c r="C1000" s="2">
        <f>HYPERLINK("https://szao.dolgi.msk.ru/account/3470354333/", 3470354333)</f>
        <v>3470354333</v>
      </c>
      <c r="D1000" t="s">
        <v>29</v>
      </c>
      <c r="E1000">
        <v>15779.01</v>
      </c>
      <c r="AX1000">
        <v>3.37</v>
      </c>
      <c r="AY1000">
        <v>2.27</v>
      </c>
      <c r="AZ1000" t="s">
        <v>35</v>
      </c>
      <c r="BA1000" t="s">
        <v>49</v>
      </c>
      <c r="BB1000">
        <v>15779.01</v>
      </c>
      <c r="BC1000">
        <v>15779.01</v>
      </c>
      <c r="BD1000">
        <v>19340.490000000002</v>
      </c>
      <c r="BE1000">
        <v>19340.490000000002</v>
      </c>
      <c r="BF1000">
        <v>15039.04</v>
      </c>
      <c r="BG1000">
        <v>6750.96</v>
      </c>
      <c r="BH1000">
        <v>-1189.5899999999999</v>
      </c>
      <c r="BI1000">
        <v>0</v>
      </c>
      <c r="BJ1000">
        <v>0</v>
      </c>
      <c r="BK1000">
        <v>-2371.89</v>
      </c>
      <c r="BL1000">
        <v>9042.2199999999993</v>
      </c>
      <c r="BM1000">
        <v>3547.31</v>
      </c>
      <c r="BO1000">
        <v>6210.15</v>
      </c>
      <c r="BP1000" s="3">
        <v>45692</v>
      </c>
      <c r="BQ1000">
        <v>6210.15</v>
      </c>
      <c r="BR1000" s="3">
        <v>45323</v>
      </c>
      <c r="BS1000" t="s">
        <v>1155</v>
      </c>
    </row>
    <row r="1001" spans="1:71" x14ac:dyDescent="0.25">
      <c r="A1001" t="s">
        <v>1150</v>
      </c>
      <c r="B1001" t="s">
        <v>203</v>
      </c>
      <c r="C1001" s="2">
        <f>HYPERLINK("https://szao.dolgi.msk.ru/account/3470354376/", 3470354376)</f>
        <v>3470354376</v>
      </c>
      <c r="D1001" t="s">
        <v>29</v>
      </c>
      <c r="E1001">
        <v>19008.54</v>
      </c>
      <c r="AX1001">
        <v>3.57</v>
      </c>
      <c r="AY1001">
        <v>3.26</v>
      </c>
      <c r="AZ1001" t="s">
        <v>40</v>
      </c>
      <c r="BA1001" t="s">
        <v>49</v>
      </c>
      <c r="BB1001">
        <v>19008.54</v>
      </c>
      <c r="BC1001">
        <v>19008.54</v>
      </c>
      <c r="BD1001">
        <v>19008.54</v>
      </c>
      <c r="BE1001">
        <v>19008.54</v>
      </c>
      <c r="BF1001">
        <v>13175.53</v>
      </c>
      <c r="BG1001">
        <v>6202.39</v>
      </c>
      <c r="BH1001">
        <v>2200.14</v>
      </c>
      <c r="BI1001">
        <v>0</v>
      </c>
      <c r="BJ1001">
        <v>0</v>
      </c>
      <c r="BK1001">
        <v>1689.1</v>
      </c>
      <c r="BL1001">
        <v>7148.19</v>
      </c>
      <c r="BM1001">
        <v>1768.72</v>
      </c>
      <c r="BO1001">
        <v>5833.01</v>
      </c>
      <c r="BP1001" s="3">
        <v>45677</v>
      </c>
      <c r="BQ1001">
        <v>5833.01</v>
      </c>
      <c r="BR1001" s="3">
        <v>45226</v>
      </c>
      <c r="BS1001" t="s">
        <v>1156</v>
      </c>
    </row>
    <row r="1002" spans="1:71" x14ac:dyDescent="0.25">
      <c r="A1002" t="s">
        <v>1150</v>
      </c>
      <c r="B1002" t="s">
        <v>429</v>
      </c>
      <c r="C1002" s="2">
        <f>HYPERLINK("https://szao.dolgi.msk.ru/account/3470354915/", 3470354915)</f>
        <v>3470354915</v>
      </c>
      <c r="D1002" t="s">
        <v>29</v>
      </c>
      <c r="E1002">
        <v>19788.47</v>
      </c>
      <c r="AX1002">
        <v>2.46</v>
      </c>
      <c r="AY1002">
        <v>2.25</v>
      </c>
      <c r="AZ1002" t="s">
        <v>35</v>
      </c>
      <c r="BA1002" t="s">
        <v>31</v>
      </c>
      <c r="BB1002">
        <v>19788.47</v>
      </c>
      <c r="BC1002">
        <v>19788.47</v>
      </c>
      <c r="BD1002">
        <v>19788.47</v>
      </c>
      <c r="BE1002">
        <v>19788.47</v>
      </c>
      <c r="BF1002">
        <v>10999.65</v>
      </c>
      <c r="BG1002">
        <v>5981.02</v>
      </c>
      <c r="BH1002">
        <v>4980.3900000000003</v>
      </c>
      <c r="BI1002">
        <v>0</v>
      </c>
      <c r="BJ1002">
        <v>0</v>
      </c>
      <c r="BK1002">
        <v>3826.77</v>
      </c>
      <c r="BL1002">
        <v>3682.06</v>
      </c>
      <c r="BM1002">
        <v>1318.23</v>
      </c>
      <c r="BN1002">
        <v>7928.3</v>
      </c>
      <c r="BP1002" s="3">
        <v>45672</v>
      </c>
      <c r="BQ1002">
        <v>7928.3</v>
      </c>
      <c r="BR1002" s="3">
        <v>45062</v>
      </c>
      <c r="BS1002" t="s">
        <v>1157</v>
      </c>
    </row>
    <row r="1003" spans="1:71" x14ac:dyDescent="0.25">
      <c r="A1003" t="s">
        <v>1150</v>
      </c>
      <c r="B1003" t="s">
        <v>1158</v>
      </c>
      <c r="C1003" s="2">
        <f>HYPERLINK("https://szao.dolgi.msk.ru/account/3470355176/", 3470355176)</f>
        <v>3470355176</v>
      </c>
      <c r="D1003" t="s">
        <v>29</v>
      </c>
      <c r="E1003">
        <v>140459.85999999999</v>
      </c>
      <c r="AX1003">
        <v>10.43</v>
      </c>
      <c r="AY1003">
        <v>9.6199999999999992</v>
      </c>
      <c r="AZ1003" t="s">
        <v>69</v>
      </c>
      <c r="BA1003" t="s">
        <v>63</v>
      </c>
      <c r="BB1003">
        <v>140459.85999999999</v>
      </c>
      <c r="BC1003">
        <v>140459.85999999999</v>
      </c>
      <c r="BD1003">
        <v>140459.85999999999</v>
      </c>
      <c r="BE1003">
        <v>140459.85999999999</v>
      </c>
      <c r="BF1003">
        <v>125861.5</v>
      </c>
      <c r="BG1003">
        <v>25261.7</v>
      </c>
      <c r="BH1003">
        <v>31888.26</v>
      </c>
      <c r="BI1003">
        <v>0</v>
      </c>
      <c r="BJ1003">
        <v>0</v>
      </c>
      <c r="BK1003">
        <v>23835.94</v>
      </c>
      <c r="BL1003">
        <v>49392.06</v>
      </c>
      <c r="BM1003">
        <v>10081.9</v>
      </c>
      <c r="BP1003" s="3">
        <v>45581</v>
      </c>
      <c r="BQ1003">
        <v>0</v>
      </c>
      <c r="BR1003" s="3">
        <v>45530</v>
      </c>
      <c r="BS1003" t="s">
        <v>1159</v>
      </c>
    </row>
    <row r="1004" spans="1:71" x14ac:dyDescent="0.25">
      <c r="A1004" t="s">
        <v>1150</v>
      </c>
      <c r="B1004" t="s">
        <v>478</v>
      </c>
      <c r="C1004" s="2">
        <f>HYPERLINK("https://szao.dolgi.msk.ru/account/3470355221/", 3470355221)</f>
        <v>3470355221</v>
      </c>
      <c r="D1004" t="s">
        <v>29</v>
      </c>
      <c r="E1004">
        <v>18538.91</v>
      </c>
      <c r="AX1004">
        <v>3.11</v>
      </c>
      <c r="AY1004">
        <v>3.16</v>
      </c>
      <c r="AZ1004" t="s">
        <v>30</v>
      </c>
      <c r="BA1004" t="s">
        <v>49</v>
      </c>
      <c r="BB1004">
        <v>18538.91</v>
      </c>
      <c r="BC1004">
        <v>18538.91</v>
      </c>
      <c r="BD1004">
        <v>18538.91</v>
      </c>
      <c r="BE1004">
        <v>18538.91</v>
      </c>
      <c r="BF1004">
        <v>12666.41</v>
      </c>
      <c r="BG1004">
        <v>6345.07</v>
      </c>
      <c r="BH1004">
        <v>4352.75</v>
      </c>
      <c r="BI1004">
        <v>0</v>
      </c>
      <c r="BJ1004">
        <v>0</v>
      </c>
      <c r="BK1004">
        <v>1878.83</v>
      </c>
      <c r="BL1004">
        <v>5061.0600000000004</v>
      </c>
      <c r="BM1004">
        <v>901.2</v>
      </c>
      <c r="BN1004">
        <v>5109.21</v>
      </c>
      <c r="BP1004" s="3">
        <v>45680</v>
      </c>
      <c r="BQ1004">
        <v>5109.21</v>
      </c>
    </row>
    <row r="1005" spans="1:71" x14ac:dyDescent="0.25">
      <c r="A1005" t="s">
        <v>1160</v>
      </c>
      <c r="B1005" t="s">
        <v>127</v>
      </c>
      <c r="C1005" s="2">
        <f>HYPERLINK("https://szao.dolgi.msk.ru/account/3470258464/", 3470258464)</f>
        <v>3470258464</v>
      </c>
      <c r="D1005" t="s">
        <v>29</v>
      </c>
      <c r="E1005">
        <v>261839.58</v>
      </c>
      <c r="AX1005">
        <v>18.260000000000002</v>
      </c>
      <c r="AY1005">
        <v>16.11</v>
      </c>
      <c r="AZ1005" t="s">
        <v>40</v>
      </c>
      <c r="BA1005" t="s">
        <v>36</v>
      </c>
      <c r="BB1005">
        <v>261839.58</v>
      </c>
      <c r="BC1005">
        <v>261839.58</v>
      </c>
      <c r="BD1005">
        <v>261839.58</v>
      </c>
      <c r="BE1005">
        <v>261839.58</v>
      </c>
      <c r="BF1005">
        <v>245589.32</v>
      </c>
      <c r="BG1005">
        <v>6156.95</v>
      </c>
      <c r="BH1005">
        <v>27580.45</v>
      </c>
      <c r="BI1005">
        <v>113140.87</v>
      </c>
      <c r="BJ1005">
        <v>42392.78</v>
      </c>
      <c r="BK1005">
        <v>47440.62</v>
      </c>
      <c r="BL1005">
        <v>17469.689999999999</v>
      </c>
      <c r="BM1005">
        <v>7658.22</v>
      </c>
      <c r="BN1005">
        <v>15034.74</v>
      </c>
      <c r="BP1005" s="3">
        <v>45684</v>
      </c>
      <c r="BQ1005">
        <v>15034.74</v>
      </c>
      <c r="BR1005" s="3">
        <v>45636</v>
      </c>
      <c r="BS1005" t="s">
        <v>1161</v>
      </c>
    </row>
    <row r="1006" spans="1:71" x14ac:dyDescent="0.25">
      <c r="A1006" t="s">
        <v>1160</v>
      </c>
      <c r="B1006" t="s">
        <v>147</v>
      </c>
      <c r="C1006" s="2">
        <f>HYPERLINK("https://szao.dolgi.msk.ru/account/3470258608/", 3470258608)</f>
        <v>3470258608</v>
      </c>
      <c r="D1006" t="s">
        <v>29</v>
      </c>
      <c r="E1006">
        <v>6878.35</v>
      </c>
      <c r="AX1006">
        <v>2.06</v>
      </c>
      <c r="AY1006">
        <v>2.13</v>
      </c>
      <c r="AZ1006" t="s">
        <v>40</v>
      </c>
      <c r="BA1006" t="s">
        <v>31</v>
      </c>
      <c r="BB1006">
        <v>6878.35</v>
      </c>
      <c r="BC1006">
        <v>6878.35</v>
      </c>
      <c r="BD1006">
        <v>7622.24</v>
      </c>
      <c r="BE1006">
        <v>7622.24</v>
      </c>
      <c r="BF1006">
        <v>3642.89</v>
      </c>
      <c r="BG1006">
        <v>2603.31</v>
      </c>
      <c r="BH1006">
        <v>1426</v>
      </c>
      <c r="BI1006">
        <v>-580.42999999999995</v>
      </c>
      <c r="BJ1006">
        <v>-163.46</v>
      </c>
      <c r="BK1006">
        <v>969.29</v>
      </c>
      <c r="BL1006">
        <v>2152.6799999999998</v>
      </c>
      <c r="BM1006">
        <v>470.96</v>
      </c>
      <c r="BP1006" s="3">
        <v>45623</v>
      </c>
      <c r="BQ1006">
        <v>3410.53</v>
      </c>
      <c r="BR1006" s="3">
        <v>45068</v>
      </c>
      <c r="BS1006" t="s">
        <v>1162</v>
      </c>
    </row>
    <row r="1007" spans="1:71" x14ac:dyDescent="0.25">
      <c r="A1007" t="s">
        <v>1160</v>
      </c>
      <c r="B1007" t="s">
        <v>98</v>
      </c>
      <c r="C1007" s="2">
        <f>HYPERLINK("https://szao.dolgi.msk.ru/account/3470257146/", 3470257146)</f>
        <v>3470257146</v>
      </c>
      <c r="D1007" t="s">
        <v>29</v>
      </c>
      <c r="E1007">
        <v>34014.82</v>
      </c>
      <c r="AX1007">
        <v>10.72</v>
      </c>
      <c r="AY1007">
        <v>7.34</v>
      </c>
      <c r="AZ1007" t="s">
        <v>69</v>
      </c>
      <c r="BA1007" t="s">
        <v>63</v>
      </c>
      <c r="BB1007">
        <v>34014.82</v>
      </c>
      <c r="BC1007">
        <v>34014.82</v>
      </c>
      <c r="BD1007">
        <v>34014.82</v>
      </c>
      <c r="BE1007">
        <v>34014.82</v>
      </c>
      <c r="BF1007">
        <v>28578.7</v>
      </c>
      <c r="BG1007">
        <v>13698.4</v>
      </c>
      <c r="BH1007">
        <v>2532.77</v>
      </c>
      <c r="BI1007">
        <v>4932.55</v>
      </c>
      <c r="BJ1007">
        <v>2425.4</v>
      </c>
      <c r="BK1007">
        <v>2886.57</v>
      </c>
      <c r="BL1007">
        <v>6354.43</v>
      </c>
      <c r="BM1007">
        <v>1184.7</v>
      </c>
      <c r="BP1007" s="3">
        <v>45588</v>
      </c>
      <c r="BQ1007">
        <v>10007.209999999999</v>
      </c>
      <c r="BR1007" s="3">
        <v>45173</v>
      </c>
      <c r="BS1007" t="s">
        <v>1163</v>
      </c>
    </row>
    <row r="1008" spans="1:71" x14ac:dyDescent="0.25">
      <c r="A1008" t="s">
        <v>1160</v>
      </c>
      <c r="B1008" t="s">
        <v>502</v>
      </c>
      <c r="C1008" s="2">
        <f>HYPERLINK("https://szao.dolgi.msk.ru/account/3470257736/", 3470257736)</f>
        <v>3470257736</v>
      </c>
      <c r="D1008" t="s">
        <v>29</v>
      </c>
      <c r="E1008">
        <v>48915.86</v>
      </c>
      <c r="AX1008">
        <v>6.17</v>
      </c>
      <c r="AY1008">
        <v>5.7</v>
      </c>
      <c r="AZ1008" t="s">
        <v>69</v>
      </c>
      <c r="BA1008" t="s">
        <v>66</v>
      </c>
      <c r="BB1008">
        <v>48915.86</v>
      </c>
      <c r="BC1008">
        <v>48915.86</v>
      </c>
      <c r="BD1008">
        <v>48915.86</v>
      </c>
      <c r="BE1008">
        <v>48915.86</v>
      </c>
      <c r="BF1008">
        <v>40415.65</v>
      </c>
      <c r="BG1008">
        <v>8062.87</v>
      </c>
      <c r="BH1008">
        <v>6159.73</v>
      </c>
      <c r="BI1008">
        <v>15356.3</v>
      </c>
      <c r="BJ1008">
        <v>4214.62</v>
      </c>
      <c r="BK1008">
        <v>8029.09</v>
      </c>
      <c r="BL1008">
        <v>5362.84</v>
      </c>
      <c r="BM1008">
        <v>1730.41</v>
      </c>
      <c r="BP1008" s="3">
        <v>45652</v>
      </c>
      <c r="BQ1008">
        <v>4690.8900000000003</v>
      </c>
    </row>
    <row r="1009" spans="1:71" x14ac:dyDescent="0.25">
      <c r="A1009" t="s">
        <v>1160</v>
      </c>
      <c r="B1009" t="s">
        <v>284</v>
      </c>
      <c r="C1009" s="2">
        <f>HYPERLINK("https://szao.dolgi.msk.ru/account/3470258157/", 3470258157)</f>
        <v>3470258157</v>
      </c>
      <c r="D1009" t="s">
        <v>29</v>
      </c>
      <c r="E1009">
        <v>27266.44</v>
      </c>
      <c r="AX1009">
        <v>7.89</v>
      </c>
      <c r="AY1009">
        <v>9.43</v>
      </c>
      <c r="AZ1009" t="s">
        <v>40</v>
      </c>
      <c r="BA1009" t="s">
        <v>66</v>
      </c>
      <c r="BB1009">
        <v>27266.44</v>
      </c>
      <c r="BC1009">
        <v>27266.44</v>
      </c>
      <c r="BD1009">
        <v>27266.44</v>
      </c>
      <c r="BE1009">
        <v>27266.44</v>
      </c>
      <c r="BF1009">
        <v>24374.86</v>
      </c>
      <c r="BG1009">
        <v>3099.43</v>
      </c>
      <c r="BH1009">
        <v>3851.28</v>
      </c>
      <c r="BI1009">
        <v>9356.73</v>
      </c>
      <c r="BJ1009">
        <v>2635.07</v>
      </c>
      <c r="BK1009">
        <v>4979.75</v>
      </c>
      <c r="BL1009">
        <v>2743.89</v>
      </c>
      <c r="BM1009">
        <v>600.29</v>
      </c>
      <c r="BN1009">
        <v>6989.48</v>
      </c>
      <c r="BP1009" s="3">
        <v>45688</v>
      </c>
      <c r="BQ1009">
        <v>2795.79</v>
      </c>
      <c r="BR1009" s="3">
        <v>45481</v>
      </c>
      <c r="BS1009" t="s">
        <v>1164</v>
      </c>
    </row>
    <row r="1010" spans="1:71" x14ac:dyDescent="0.25">
      <c r="A1010" t="s">
        <v>1160</v>
      </c>
      <c r="B1010" t="s">
        <v>335</v>
      </c>
      <c r="C1010" s="2">
        <f>HYPERLINK("https://szao.dolgi.msk.ru/account/3470258181/", 3470258181)</f>
        <v>3470258181</v>
      </c>
      <c r="D1010" t="s">
        <v>29</v>
      </c>
      <c r="E1010">
        <v>28322.48</v>
      </c>
      <c r="AX1010">
        <v>9.7899999999999991</v>
      </c>
      <c r="AY1010">
        <v>12.62</v>
      </c>
      <c r="AZ1010" t="s">
        <v>40</v>
      </c>
      <c r="BA1010" t="s">
        <v>63</v>
      </c>
      <c r="BB1010">
        <v>28322.48</v>
      </c>
      <c r="BC1010">
        <v>28322.48</v>
      </c>
      <c r="BD1010">
        <v>28322.48</v>
      </c>
      <c r="BE1010">
        <v>28322.48</v>
      </c>
      <c r="BF1010">
        <v>26078.23</v>
      </c>
      <c r="BG1010">
        <v>2659.8</v>
      </c>
      <c r="BH1010">
        <v>4106.8500000000004</v>
      </c>
      <c r="BI1010">
        <v>10415.530000000001</v>
      </c>
      <c r="BJ1010">
        <v>2809.95</v>
      </c>
      <c r="BK1010">
        <v>5392.54</v>
      </c>
      <c r="BL1010">
        <v>2384.0500000000002</v>
      </c>
      <c r="BM1010">
        <v>553.76</v>
      </c>
      <c r="BN1010">
        <v>4565.0600000000004</v>
      </c>
      <c r="BO1010">
        <v>2244.25</v>
      </c>
      <c r="BP1010" s="3">
        <v>45681</v>
      </c>
      <c r="BQ1010">
        <v>6809.31</v>
      </c>
    </row>
    <row r="1011" spans="1:71" x14ac:dyDescent="0.25">
      <c r="A1011" t="s">
        <v>1160</v>
      </c>
      <c r="B1011" t="s">
        <v>235</v>
      </c>
      <c r="C1011" s="2">
        <f>HYPERLINK("https://szao.dolgi.msk.ru/account/3470258499/", 3470258499)</f>
        <v>3470258499</v>
      </c>
      <c r="D1011" t="s">
        <v>29</v>
      </c>
      <c r="E1011">
        <v>53519.07</v>
      </c>
      <c r="AX1011">
        <v>12.9</v>
      </c>
      <c r="AY1011">
        <v>13.05</v>
      </c>
      <c r="AZ1011" t="s">
        <v>45</v>
      </c>
      <c r="BA1011" t="s">
        <v>36</v>
      </c>
      <c r="BB1011">
        <v>53519.07</v>
      </c>
      <c r="BC1011">
        <v>53519.07</v>
      </c>
      <c r="BD1011">
        <v>53519.07</v>
      </c>
      <c r="BE1011">
        <v>53519.07</v>
      </c>
      <c r="BF1011">
        <v>49418.1</v>
      </c>
      <c r="BG1011">
        <v>9851.4500000000007</v>
      </c>
      <c r="BH1011">
        <v>5851.54</v>
      </c>
      <c r="BI1011">
        <v>14940.92</v>
      </c>
      <c r="BJ1011">
        <v>4059.35</v>
      </c>
      <c r="BK1011">
        <v>7885.88</v>
      </c>
      <c r="BL1011">
        <v>8894.35</v>
      </c>
      <c r="BM1011">
        <v>2035.58</v>
      </c>
      <c r="BP1011" s="3">
        <v>45400</v>
      </c>
      <c r="BQ1011">
        <v>3208.78</v>
      </c>
      <c r="BR1011" s="3">
        <v>45481</v>
      </c>
      <c r="BS1011" t="s">
        <v>1165</v>
      </c>
    </row>
    <row r="1012" spans="1:71" x14ac:dyDescent="0.25">
      <c r="A1012" t="s">
        <v>1160</v>
      </c>
      <c r="B1012" t="s">
        <v>755</v>
      </c>
      <c r="C1012" s="2">
        <f>HYPERLINK("https://szao.dolgi.msk.ru/account/3470456997/", 3470456997)</f>
        <v>3470456997</v>
      </c>
      <c r="D1012" t="s">
        <v>29</v>
      </c>
      <c r="E1012">
        <v>5158.3</v>
      </c>
      <c r="AX1012">
        <v>2.72</v>
      </c>
      <c r="AY1012">
        <v>2.75</v>
      </c>
      <c r="AZ1012" t="s">
        <v>30</v>
      </c>
      <c r="BA1012" t="s">
        <v>31</v>
      </c>
      <c r="BB1012">
        <v>5158.3</v>
      </c>
      <c r="BC1012">
        <v>5158.3</v>
      </c>
      <c r="BD1012">
        <v>5158.3</v>
      </c>
      <c r="BE1012">
        <v>5158.3</v>
      </c>
      <c r="BF1012">
        <v>3282.2</v>
      </c>
      <c r="BG1012">
        <v>2510.14</v>
      </c>
      <c r="BH1012">
        <v>0</v>
      </c>
      <c r="BI1012">
        <v>0</v>
      </c>
      <c r="BJ1012">
        <v>0</v>
      </c>
      <c r="BK1012">
        <v>0</v>
      </c>
      <c r="BL1012">
        <v>2172.81</v>
      </c>
      <c r="BM1012">
        <v>475.35</v>
      </c>
      <c r="BP1012" s="3">
        <v>45621</v>
      </c>
      <c r="BQ1012">
        <v>3282.2</v>
      </c>
      <c r="BR1012" s="3">
        <v>45509</v>
      </c>
      <c r="BS1012" t="s">
        <v>1166</v>
      </c>
    </row>
    <row r="1013" spans="1:71" x14ac:dyDescent="0.25">
      <c r="A1013" t="s">
        <v>1160</v>
      </c>
      <c r="B1013" t="s">
        <v>759</v>
      </c>
      <c r="C1013" s="2">
        <f>HYPERLINK("https://szao.dolgi.msk.ru/account/3470257111/", 3470257111)</f>
        <v>3470257111</v>
      </c>
      <c r="D1013" t="s">
        <v>29</v>
      </c>
      <c r="E1013">
        <v>220619.35</v>
      </c>
      <c r="AX1013">
        <v>14.42</v>
      </c>
      <c r="AY1013">
        <v>14.38</v>
      </c>
      <c r="AZ1013" t="s">
        <v>45</v>
      </c>
      <c r="BA1013" t="s">
        <v>36</v>
      </c>
      <c r="BB1013">
        <v>220919.35</v>
      </c>
      <c r="BC1013">
        <v>220919.35</v>
      </c>
      <c r="BD1013">
        <v>220619.35</v>
      </c>
      <c r="BE1013">
        <v>220919.35</v>
      </c>
      <c r="BF1013">
        <v>205581.08</v>
      </c>
      <c r="BG1013">
        <v>12810.62</v>
      </c>
      <c r="BH1013">
        <v>35033.35</v>
      </c>
      <c r="BI1013">
        <v>88409.67</v>
      </c>
      <c r="BJ1013">
        <v>23918.36</v>
      </c>
      <c r="BK1013">
        <v>45953.73</v>
      </c>
      <c r="BL1013">
        <v>11796.19</v>
      </c>
      <c r="BM1013">
        <v>2697.43</v>
      </c>
      <c r="BO1013">
        <v>300</v>
      </c>
      <c r="BP1013" s="3">
        <v>45696</v>
      </c>
      <c r="BQ1013">
        <v>300</v>
      </c>
      <c r="BR1013" s="3">
        <v>45636</v>
      </c>
      <c r="BS1013" t="s">
        <v>1167</v>
      </c>
    </row>
    <row r="1014" spans="1:71" x14ac:dyDescent="0.25">
      <c r="A1014" t="s">
        <v>1160</v>
      </c>
      <c r="B1014" t="s">
        <v>760</v>
      </c>
      <c r="C1014" s="2">
        <f>HYPERLINK("https://szao.dolgi.msk.ru/account/3470257242/", 3470257242)</f>
        <v>3470257242</v>
      </c>
      <c r="D1014" t="s">
        <v>29</v>
      </c>
      <c r="E1014">
        <v>5473.4</v>
      </c>
      <c r="AX1014">
        <v>2.06</v>
      </c>
      <c r="AY1014">
        <v>1.75</v>
      </c>
      <c r="AZ1014" t="s">
        <v>30</v>
      </c>
      <c r="BA1014" t="s">
        <v>31</v>
      </c>
      <c r="BB1014">
        <v>5473.4</v>
      </c>
      <c r="BC1014">
        <v>5473.4</v>
      </c>
      <c r="BD1014">
        <v>7928.48</v>
      </c>
      <c r="BE1014">
        <v>7928.48</v>
      </c>
      <c r="BF1014">
        <v>2342.65</v>
      </c>
      <c r="BG1014">
        <v>3858.17</v>
      </c>
      <c r="BH1014">
        <v>-403.32</v>
      </c>
      <c r="BI1014">
        <v>-1209.67</v>
      </c>
      <c r="BJ1014">
        <v>-296.44</v>
      </c>
      <c r="BK1014">
        <v>-545.65</v>
      </c>
      <c r="BL1014">
        <v>3339.66</v>
      </c>
      <c r="BM1014">
        <v>730.65</v>
      </c>
      <c r="BP1014" s="3">
        <v>45608</v>
      </c>
      <c r="BQ1014">
        <v>7567.26</v>
      </c>
    </row>
    <row r="1015" spans="1:71" x14ac:dyDescent="0.25">
      <c r="A1015" t="s">
        <v>1160</v>
      </c>
      <c r="B1015" t="s">
        <v>890</v>
      </c>
      <c r="C1015" s="2">
        <f>HYPERLINK("https://szao.dolgi.msk.ru/account/3470257445/", 3470257445)</f>
        <v>3470257445</v>
      </c>
      <c r="D1015" t="s">
        <v>29</v>
      </c>
      <c r="E1015">
        <v>6610.52</v>
      </c>
      <c r="AX1015">
        <v>3.65</v>
      </c>
      <c r="AY1015">
        <v>3.62</v>
      </c>
      <c r="AZ1015" t="s">
        <v>40</v>
      </c>
      <c r="BA1015" t="s">
        <v>49</v>
      </c>
      <c r="BB1015">
        <v>6610.52</v>
      </c>
      <c r="BC1015">
        <v>6610.52</v>
      </c>
      <c r="BD1015">
        <v>6610.52</v>
      </c>
      <c r="BE1015">
        <v>6610.52</v>
      </c>
      <c r="BF1015">
        <v>4786.53</v>
      </c>
      <c r="BG1015">
        <v>3177.72</v>
      </c>
      <c r="BH1015">
        <v>0</v>
      </c>
      <c r="BI1015">
        <v>0</v>
      </c>
      <c r="BJ1015">
        <v>0</v>
      </c>
      <c r="BK1015">
        <v>0</v>
      </c>
      <c r="BL1015">
        <v>2816.6</v>
      </c>
      <c r="BM1015">
        <v>616.20000000000005</v>
      </c>
      <c r="BP1015" s="3">
        <v>45625</v>
      </c>
      <c r="BQ1015">
        <v>1595.51</v>
      </c>
    </row>
    <row r="1016" spans="1:71" x14ac:dyDescent="0.25">
      <c r="A1016" t="s">
        <v>1168</v>
      </c>
      <c r="B1016" t="s">
        <v>579</v>
      </c>
      <c r="C1016" s="2">
        <f>HYPERLINK("https://szao.dolgi.msk.ru/account/3470260011/", 3470260011)</f>
        <v>3470260011</v>
      </c>
      <c r="D1016" t="s">
        <v>29</v>
      </c>
      <c r="E1016">
        <v>174430.57</v>
      </c>
      <c r="AX1016">
        <v>20.96</v>
      </c>
      <c r="AY1016">
        <v>20.3</v>
      </c>
      <c r="AZ1016" t="s">
        <v>56</v>
      </c>
      <c r="BA1016" t="s">
        <v>36</v>
      </c>
      <c r="BB1016">
        <v>174430.57</v>
      </c>
      <c r="BC1016">
        <v>174430.57</v>
      </c>
      <c r="BD1016">
        <v>174430.57</v>
      </c>
      <c r="BE1016">
        <v>174430.57</v>
      </c>
      <c r="BF1016">
        <v>165836.79999999999</v>
      </c>
      <c r="BG1016">
        <v>20658.68</v>
      </c>
      <c r="BH1016">
        <v>21293.68</v>
      </c>
      <c r="BI1016">
        <v>61627.86</v>
      </c>
      <c r="BJ1016">
        <v>16597.96</v>
      </c>
      <c r="BK1016">
        <v>29477.68</v>
      </c>
      <c r="BL1016">
        <v>20207.580000000002</v>
      </c>
      <c r="BM1016">
        <v>4567.13</v>
      </c>
      <c r="BP1016" s="3">
        <v>44817</v>
      </c>
      <c r="BQ1016">
        <v>37712.17</v>
      </c>
      <c r="BR1016" s="3">
        <v>44811</v>
      </c>
      <c r="BS1016" t="s">
        <v>1169</v>
      </c>
    </row>
    <row r="1017" spans="1:71" x14ac:dyDescent="0.25">
      <c r="A1017" t="s">
        <v>1168</v>
      </c>
      <c r="B1017" t="s">
        <v>840</v>
      </c>
      <c r="C1017" s="2">
        <f>HYPERLINK("https://szao.dolgi.msk.ru/account/3470258763/", 3470258763)</f>
        <v>3470258763</v>
      </c>
      <c r="D1017" t="s">
        <v>29</v>
      </c>
      <c r="E1017">
        <v>134690.72</v>
      </c>
      <c r="AX1017">
        <v>15.71</v>
      </c>
      <c r="AY1017">
        <v>15.62</v>
      </c>
      <c r="AZ1017" t="s">
        <v>45</v>
      </c>
      <c r="BA1017" t="s">
        <v>36</v>
      </c>
      <c r="BB1017">
        <v>134690.72</v>
      </c>
      <c r="BC1017">
        <v>134690.72</v>
      </c>
      <c r="BD1017">
        <v>134690.72</v>
      </c>
      <c r="BE1017">
        <v>134690.72</v>
      </c>
      <c r="BF1017">
        <v>126070.41</v>
      </c>
      <c r="BG1017">
        <v>13987.2</v>
      </c>
      <c r="BH1017">
        <v>17281.990000000002</v>
      </c>
      <c r="BI1017">
        <v>49752.28</v>
      </c>
      <c r="BJ1017">
        <v>13484.04</v>
      </c>
      <c r="BK1017">
        <v>23930.59</v>
      </c>
      <c r="BL1017">
        <v>13282.32</v>
      </c>
      <c r="BM1017">
        <v>2972.3</v>
      </c>
      <c r="BP1017" s="3">
        <v>45336</v>
      </c>
      <c r="BQ1017">
        <v>7580.27</v>
      </c>
      <c r="BR1017" s="3">
        <v>45624</v>
      </c>
      <c r="BS1017" t="s">
        <v>1170</v>
      </c>
    </row>
    <row r="1018" spans="1:71" x14ac:dyDescent="0.25">
      <c r="A1018" t="s">
        <v>1168</v>
      </c>
      <c r="B1018" t="s">
        <v>215</v>
      </c>
      <c r="C1018" s="2">
        <f>HYPERLINK("https://szao.dolgi.msk.ru/account/3470258827/", 3470258827)</f>
        <v>3470258827</v>
      </c>
      <c r="D1018" t="s">
        <v>29</v>
      </c>
      <c r="E1018">
        <v>14310.27</v>
      </c>
      <c r="AX1018">
        <v>2.2799999999999998</v>
      </c>
      <c r="AY1018">
        <v>2.2000000000000002</v>
      </c>
      <c r="AZ1018" t="s">
        <v>30</v>
      </c>
      <c r="BA1018" t="s">
        <v>31</v>
      </c>
      <c r="BB1018">
        <v>14310.27</v>
      </c>
      <c r="BC1018">
        <v>14310.27</v>
      </c>
      <c r="BD1018">
        <v>14310.27</v>
      </c>
      <c r="BE1018">
        <v>14310.27</v>
      </c>
      <c r="BF1018">
        <v>7804.64</v>
      </c>
      <c r="BG1018">
        <v>3901.23</v>
      </c>
      <c r="BH1018">
        <v>478.4</v>
      </c>
      <c r="BI1018">
        <v>3715.82</v>
      </c>
      <c r="BJ1018">
        <v>1034.06</v>
      </c>
      <c r="BK1018">
        <v>1010.02</v>
      </c>
      <c r="BL1018">
        <v>3431.62</v>
      </c>
      <c r="BM1018">
        <v>739.12</v>
      </c>
      <c r="BP1018" s="3">
        <v>45642</v>
      </c>
      <c r="BQ1018">
        <v>10176.89</v>
      </c>
    </row>
    <row r="1019" spans="1:71" x14ac:dyDescent="0.25">
      <c r="A1019" t="s">
        <v>1168</v>
      </c>
      <c r="B1019" t="s">
        <v>538</v>
      </c>
      <c r="C1019" s="2">
        <f>HYPERLINK("https://szao.dolgi.msk.ru/account/3470259029/", 3470259029)</f>
        <v>3470259029</v>
      </c>
      <c r="D1019" t="s">
        <v>29</v>
      </c>
      <c r="E1019">
        <v>94726.81</v>
      </c>
      <c r="AX1019">
        <v>46.2</v>
      </c>
      <c r="AY1019">
        <v>45.92</v>
      </c>
      <c r="AZ1019" t="s">
        <v>35</v>
      </c>
      <c r="BA1019" t="s">
        <v>36</v>
      </c>
      <c r="BB1019">
        <v>94726.81</v>
      </c>
      <c r="BC1019">
        <v>94726.81</v>
      </c>
      <c r="BD1019">
        <v>97994.05</v>
      </c>
      <c r="BE1019">
        <v>97994.05</v>
      </c>
      <c r="BF1019">
        <v>92663.8</v>
      </c>
      <c r="BG1019">
        <v>23296.7</v>
      </c>
      <c r="BH1019">
        <v>10586.83</v>
      </c>
      <c r="BI1019">
        <v>29353.040000000001</v>
      </c>
      <c r="BJ1019">
        <v>7676.71</v>
      </c>
      <c r="BK1019">
        <v>-3267.24</v>
      </c>
      <c r="BL1019">
        <v>22988.97</v>
      </c>
      <c r="BM1019">
        <v>4091.8</v>
      </c>
      <c r="BO1019">
        <v>2022.56</v>
      </c>
      <c r="BP1019" s="3">
        <v>45677</v>
      </c>
      <c r="BQ1019">
        <v>2022.56</v>
      </c>
      <c r="BR1019" s="3">
        <v>45301</v>
      </c>
      <c r="BS1019" t="s">
        <v>128</v>
      </c>
    </row>
    <row r="1020" spans="1:71" x14ac:dyDescent="0.25">
      <c r="A1020" t="s">
        <v>1168</v>
      </c>
      <c r="B1020" t="s">
        <v>317</v>
      </c>
      <c r="C1020" s="2">
        <f>HYPERLINK("https://szao.dolgi.msk.ru/account/3470331406/", 3470331406)</f>
        <v>3470331406</v>
      </c>
      <c r="D1020" t="s">
        <v>29</v>
      </c>
      <c r="E1020">
        <v>159737.54</v>
      </c>
      <c r="AX1020">
        <v>18.8</v>
      </c>
      <c r="AY1020">
        <v>18.59</v>
      </c>
      <c r="AZ1020" t="s">
        <v>56</v>
      </c>
      <c r="BA1020" t="s">
        <v>36</v>
      </c>
      <c r="BB1020">
        <v>159737.54</v>
      </c>
      <c r="BC1020">
        <v>159737.54</v>
      </c>
      <c r="BD1020">
        <v>159737.54</v>
      </c>
      <c r="BE1020">
        <v>159737.54</v>
      </c>
      <c r="BF1020">
        <v>151143.76999999999</v>
      </c>
      <c r="BG1020">
        <v>17201.52</v>
      </c>
      <c r="BH1020">
        <v>22383.63</v>
      </c>
      <c r="BI1020">
        <v>55649.16</v>
      </c>
      <c r="BJ1020">
        <v>15046.39</v>
      </c>
      <c r="BK1020">
        <v>29160.5</v>
      </c>
      <c r="BL1020">
        <v>16596.07</v>
      </c>
      <c r="BM1020">
        <v>3700.27</v>
      </c>
      <c r="BP1020" s="3">
        <v>44952</v>
      </c>
      <c r="BQ1020">
        <v>2150.2199999999998</v>
      </c>
    </row>
    <row r="1021" spans="1:71" x14ac:dyDescent="0.25">
      <c r="A1021" t="s">
        <v>1168</v>
      </c>
      <c r="B1021" t="s">
        <v>111</v>
      </c>
      <c r="C1021" s="2">
        <f>HYPERLINK("https://szao.dolgi.msk.ru/account/3470259256/", 3470259256)</f>
        <v>3470259256</v>
      </c>
      <c r="D1021" t="s">
        <v>29</v>
      </c>
      <c r="E1021">
        <v>14710.98</v>
      </c>
      <c r="AX1021">
        <v>3.8</v>
      </c>
      <c r="AY1021">
        <v>3.56</v>
      </c>
      <c r="AZ1021" t="s">
        <v>69</v>
      </c>
      <c r="BA1021" t="s">
        <v>49</v>
      </c>
      <c r="BB1021">
        <v>14710.98</v>
      </c>
      <c r="BC1021">
        <v>14710.98</v>
      </c>
      <c r="BD1021">
        <v>14710.98</v>
      </c>
      <c r="BE1021">
        <v>14710.98</v>
      </c>
      <c r="BF1021">
        <v>10584.01</v>
      </c>
      <c r="BG1021">
        <v>3970.95</v>
      </c>
      <c r="BH1021">
        <v>1393.11</v>
      </c>
      <c r="BI1021">
        <v>2504.7399999999998</v>
      </c>
      <c r="BJ1021">
        <v>705.4</v>
      </c>
      <c r="BK1021">
        <v>1611.08</v>
      </c>
      <c r="BL1021">
        <v>3744.45</v>
      </c>
      <c r="BM1021">
        <v>781.25</v>
      </c>
      <c r="BP1021" s="3">
        <v>45552</v>
      </c>
      <c r="BQ1021">
        <v>2606.21</v>
      </c>
    </row>
    <row r="1022" spans="1:71" x14ac:dyDescent="0.25">
      <c r="A1022" t="s">
        <v>1168</v>
      </c>
      <c r="B1022" t="s">
        <v>1171</v>
      </c>
      <c r="C1022" s="2">
        <f>HYPERLINK("https://szao.dolgi.msk.ru/account/3470259491/", 3470259491)</f>
        <v>3470259491</v>
      </c>
      <c r="D1022" t="s">
        <v>29</v>
      </c>
      <c r="E1022">
        <v>12895.95</v>
      </c>
      <c r="AX1022">
        <v>3.26</v>
      </c>
      <c r="AY1022">
        <v>3.86</v>
      </c>
      <c r="AZ1022" t="s">
        <v>40</v>
      </c>
      <c r="BA1022" t="s">
        <v>49</v>
      </c>
      <c r="BB1022">
        <v>12895.95</v>
      </c>
      <c r="BC1022">
        <v>12895.95</v>
      </c>
      <c r="BD1022">
        <v>12895.95</v>
      </c>
      <c r="BE1022">
        <v>12895.95</v>
      </c>
      <c r="BF1022">
        <v>0</v>
      </c>
      <c r="BG1022">
        <v>997.98</v>
      </c>
      <c r="BH1022">
        <v>1919.69</v>
      </c>
      <c r="BI1022">
        <v>5329.32</v>
      </c>
      <c r="BJ1022">
        <v>1424.78</v>
      </c>
      <c r="BK1022">
        <v>2618.4299999999998</v>
      </c>
      <c r="BL1022">
        <v>446.56</v>
      </c>
      <c r="BM1022">
        <v>159.19</v>
      </c>
      <c r="BN1022">
        <v>2905.9</v>
      </c>
      <c r="BP1022" s="3">
        <v>45685</v>
      </c>
      <c r="BQ1022">
        <v>2905.9</v>
      </c>
    </row>
    <row r="1023" spans="1:71" x14ac:dyDescent="0.25">
      <c r="A1023" t="s">
        <v>1168</v>
      </c>
      <c r="B1023" t="s">
        <v>1172</v>
      </c>
      <c r="C1023" s="2">
        <f>HYPERLINK("https://szao.dolgi.msk.ru/account/3470259539/", 3470259539)</f>
        <v>3470259539</v>
      </c>
      <c r="D1023" t="s">
        <v>29</v>
      </c>
      <c r="E1023">
        <v>17789.47</v>
      </c>
      <c r="AX1023">
        <v>2.2599999999999998</v>
      </c>
      <c r="AY1023">
        <v>2.4700000000000002</v>
      </c>
      <c r="AZ1023" t="s">
        <v>35</v>
      </c>
      <c r="BA1023" t="s">
        <v>31</v>
      </c>
      <c r="BB1023">
        <v>17789.47</v>
      </c>
      <c r="BC1023">
        <v>17789.47</v>
      </c>
      <c r="BD1023">
        <v>17789.47</v>
      </c>
      <c r="BE1023">
        <v>17789.47</v>
      </c>
      <c r="BF1023">
        <v>0</v>
      </c>
      <c r="BG1023">
        <v>1011.78</v>
      </c>
      <c r="BH1023">
        <v>1827.51</v>
      </c>
      <c r="BI1023">
        <v>8495.44</v>
      </c>
      <c r="BJ1023">
        <v>2301.2199999999998</v>
      </c>
      <c r="BK1023">
        <v>3218.63</v>
      </c>
      <c r="BL1023">
        <v>773.5</v>
      </c>
      <c r="BM1023">
        <v>161.38999999999999</v>
      </c>
      <c r="BP1023" s="3">
        <v>45667</v>
      </c>
      <c r="BQ1023">
        <v>6967.85</v>
      </c>
    </row>
    <row r="1024" spans="1:71" x14ac:dyDescent="0.25">
      <c r="A1024" t="s">
        <v>1168</v>
      </c>
      <c r="B1024" t="s">
        <v>1173</v>
      </c>
      <c r="C1024" s="2">
        <f>HYPERLINK("https://szao.dolgi.msk.ru/account/3470259651/", 3470259651)</f>
        <v>3470259651</v>
      </c>
      <c r="D1024" t="s">
        <v>29</v>
      </c>
      <c r="E1024">
        <v>11723.27</v>
      </c>
      <c r="AX1024">
        <v>3.71</v>
      </c>
      <c r="AY1024">
        <v>3.71</v>
      </c>
      <c r="AZ1024" t="s">
        <v>69</v>
      </c>
      <c r="BA1024" t="s">
        <v>49</v>
      </c>
      <c r="BB1024">
        <v>11723.27</v>
      </c>
      <c r="BC1024">
        <v>11723.27</v>
      </c>
      <c r="BD1024">
        <v>11723.27</v>
      </c>
      <c r="BE1024">
        <v>11723.27</v>
      </c>
      <c r="BF1024">
        <v>8565.0300000000007</v>
      </c>
      <c r="BG1024">
        <v>5023.82</v>
      </c>
      <c r="BH1024">
        <v>154.4</v>
      </c>
      <c r="BI1024">
        <v>518.91999999999996</v>
      </c>
      <c r="BJ1024">
        <v>149.5</v>
      </c>
      <c r="BK1024">
        <v>233.31</v>
      </c>
      <c r="BL1024">
        <v>4669.12</v>
      </c>
      <c r="BM1024">
        <v>974.2</v>
      </c>
      <c r="BP1024" s="3">
        <v>45552</v>
      </c>
      <c r="BQ1024">
        <v>2618.75</v>
      </c>
    </row>
    <row r="1025" spans="1:71" x14ac:dyDescent="0.25">
      <c r="A1025" t="s">
        <v>1168</v>
      </c>
      <c r="B1025" t="s">
        <v>1174</v>
      </c>
      <c r="C1025" s="2">
        <f>HYPERLINK("https://szao.dolgi.msk.ru/account/3470259723/", 3470259723)</f>
        <v>3470259723</v>
      </c>
      <c r="D1025" t="s">
        <v>29</v>
      </c>
      <c r="E1025">
        <v>79023.539999999994</v>
      </c>
      <c r="AX1025">
        <v>20.190000000000001</v>
      </c>
      <c r="AY1025">
        <v>19.07</v>
      </c>
      <c r="AZ1025" t="s">
        <v>45</v>
      </c>
      <c r="BA1025" t="s">
        <v>36</v>
      </c>
      <c r="BB1025">
        <v>79023.539999999994</v>
      </c>
      <c r="BC1025">
        <v>79023.539999999994</v>
      </c>
      <c r="BD1025">
        <v>79023.539999999994</v>
      </c>
      <c r="BE1025">
        <v>79023.539999999994</v>
      </c>
      <c r="BF1025">
        <v>74878.87</v>
      </c>
      <c r="BG1025">
        <v>13577.46</v>
      </c>
      <c r="BH1025">
        <v>9326.85</v>
      </c>
      <c r="BI1025">
        <v>20349.23</v>
      </c>
      <c r="BJ1025">
        <v>4742.1899999999996</v>
      </c>
      <c r="BK1025">
        <v>9697.6299999999992</v>
      </c>
      <c r="BL1025">
        <v>16779.2</v>
      </c>
      <c r="BM1025">
        <v>4550.9799999999996</v>
      </c>
      <c r="BP1025" s="3">
        <v>45504</v>
      </c>
      <c r="BQ1025">
        <v>5890.2</v>
      </c>
      <c r="BR1025" s="3">
        <v>45628</v>
      </c>
      <c r="BS1025" t="s">
        <v>1175</v>
      </c>
    </row>
    <row r="1026" spans="1:71" x14ac:dyDescent="0.25">
      <c r="A1026" t="s">
        <v>1176</v>
      </c>
      <c r="B1026" t="s">
        <v>311</v>
      </c>
      <c r="C1026" s="2">
        <f>HYPERLINK("https://szao.dolgi.msk.ru/account/3470355651/", 3470355651)</f>
        <v>3470355651</v>
      </c>
      <c r="D1026" t="s">
        <v>29</v>
      </c>
      <c r="E1026">
        <v>23872.33</v>
      </c>
      <c r="AX1026">
        <v>2.25</v>
      </c>
      <c r="AY1026">
        <v>2.17</v>
      </c>
      <c r="AZ1026" t="s">
        <v>30</v>
      </c>
      <c r="BA1026" t="s">
        <v>31</v>
      </c>
      <c r="BB1026">
        <v>23872.33</v>
      </c>
      <c r="BC1026">
        <v>23872.33</v>
      </c>
      <c r="BD1026">
        <v>23872.33</v>
      </c>
      <c r="BE1026">
        <v>23872.33</v>
      </c>
      <c r="BF1026">
        <v>12888.1</v>
      </c>
      <c r="BG1026">
        <v>8647.81</v>
      </c>
      <c r="BH1026">
        <v>3795.54</v>
      </c>
      <c r="BI1026">
        <v>0</v>
      </c>
      <c r="BJ1026">
        <v>0</v>
      </c>
      <c r="BK1026">
        <v>2894.61</v>
      </c>
      <c r="BL1026">
        <v>6776.99</v>
      </c>
      <c r="BM1026">
        <v>1757.38</v>
      </c>
      <c r="BP1026" s="3">
        <v>45631</v>
      </c>
      <c r="BQ1026">
        <v>39400.92</v>
      </c>
      <c r="BR1026" s="3">
        <v>45509</v>
      </c>
      <c r="BS1026" t="s">
        <v>1177</v>
      </c>
    </row>
    <row r="1027" spans="1:71" x14ac:dyDescent="0.25">
      <c r="A1027" t="s">
        <v>1176</v>
      </c>
      <c r="B1027" t="s">
        <v>473</v>
      </c>
      <c r="C1027" s="2">
        <f>HYPERLINK("https://szao.dolgi.msk.ru/account/3470355942/", 3470355942)</f>
        <v>3470355942</v>
      </c>
      <c r="D1027" t="s">
        <v>29</v>
      </c>
      <c r="E1027">
        <v>136732.79999999999</v>
      </c>
      <c r="AX1027">
        <v>10.16</v>
      </c>
      <c r="AY1027">
        <v>9.98</v>
      </c>
      <c r="AZ1027" t="s">
        <v>45</v>
      </c>
      <c r="BA1027" t="s">
        <v>63</v>
      </c>
      <c r="BB1027">
        <v>136732.79999999999</v>
      </c>
      <c r="BC1027">
        <v>136732.79999999999</v>
      </c>
      <c r="BD1027">
        <v>136732.79999999999</v>
      </c>
      <c r="BE1027">
        <v>136732.79999999999</v>
      </c>
      <c r="BF1027">
        <v>123038.14</v>
      </c>
      <c r="BG1027">
        <v>42535.61</v>
      </c>
      <c r="BH1027">
        <v>21720.080000000002</v>
      </c>
      <c r="BI1027">
        <v>0</v>
      </c>
      <c r="BJ1027">
        <v>0</v>
      </c>
      <c r="BK1027">
        <v>16822.490000000002</v>
      </c>
      <c r="BL1027">
        <v>46467.93</v>
      </c>
      <c r="BM1027">
        <v>9186.69</v>
      </c>
      <c r="BP1027" s="3">
        <v>45475</v>
      </c>
      <c r="BQ1027">
        <v>9968.7800000000007</v>
      </c>
      <c r="BR1027" s="3">
        <v>45441</v>
      </c>
      <c r="BS1027" t="s">
        <v>1178</v>
      </c>
    </row>
    <row r="1028" spans="1:71" x14ac:dyDescent="0.25">
      <c r="A1028" t="s">
        <v>1176</v>
      </c>
      <c r="B1028" t="s">
        <v>344</v>
      </c>
      <c r="C1028" s="2">
        <f>HYPERLINK("https://szao.dolgi.msk.ru/account/3470356064/", 3470356064)</f>
        <v>3470356064</v>
      </c>
      <c r="D1028" t="s">
        <v>29</v>
      </c>
      <c r="E1028">
        <v>142992.22</v>
      </c>
      <c r="AX1028">
        <v>6.52</v>
      </c>
      <c r="AY1028">
        <v>6.44</v>
      </c>
      <c r="AZ1028" t="s">
        <v>45</v>
      </c>
      <c r="BA1028" t="s">
        <v>66</v>
      </c>
      <c r="BB1028">
        <v>142992.22</v>
      </c>
      <c r="BC1028">
        <v>142992.22</v>
      </c>
      <c r="BD1028">
        <v>143090.22</v>
      </c>
      <c r="BE1028">
        <v>143090.22</v>
      </c>
      <c r="BF1028">
        <v>120779.14</v>
      </c>
      <c r="BG1028">
        <v>14518.56</v>
      </c>
      <c r="BH1028">
        <v>64452.25</v>
      </c>
      <c r="BI1028">
        <v>0</v>
      </c>
      <c r="BJ1028">
        <v>-98</v>
      </c>
      <c r="BK1028">
        <v>49591.28</v>
      </c>
      <c r="BL1028">
        <v>11547.3</v>
      </c>
      <c r="BM1028">
        <v>2980.83</v>
      </c>
      <c r="BP1028" s="3">
        <v>45499</v>
      </c>
      <c r="BQ1028">
        <v>104366.88</v>
      </c>
      <c r="BR1028" s="3">
        <v>45128</v>
      </c>
      <c r="BS1028" t="s">
        <v>1179</v>
      </c>
    </row>
    <row r="1029" spans="1:71" x14ac:dyDescent="0.25">
      <c r="A1029" t="s">
        <v>1176</v>
      </c>
      <c r="B1029" t="s">
        <v>313</v>
      </c>
      <c r="C1029" s="2">
        <f>HYPERLINK("https://szao.dolgi.msk.ru/account/3470356072/", 3470356072)</f>
        <v>3470356072</v>
      </c>
      <c r="D1029" t="s">
        <v>29</v>
      </c>
      <c r="E1029">
        <v>18223.810000000001</v>
      </c>
      <c r="AX1029">
        <v>2.98</v>
      </c>
      <c r="AY1029">
        <v>3.06</v>
      </c>
      <c r="AZ1029" t="s">
        <v>30</v>
      </c>
      <c r="BA1029" t="s">
        <v>31</v>
      </c>
      <c r="BB1029">
        <v>18223.810000000001</v>
      </c>
      <c r="BC1029">
        <v>18223.810000000001</v>
      </c>
      <c r="BD1029">
        <v>18223.810000000001</v>
      </c>
      <c r="BE1029">
        <v>18223.810000000001</v>
      </c>
      <c r="BF1029">
        <v>12275.94</v>
      </c>
      <c r="BG1029">
        <v>7645.78</v>
      </c>
      <c r="BH1029">
        <v>3271.36</v>
      </c>
      <c r="BI1029">
        <v>0</v>
      </c>
      <c r="BJ1029">
        <v>0</v>
      </c>
      <c r="BK1029">
        <v>2511.5</v>
      </c>
      <c r="BL1029">
        <v>4067.85</v>
      </c>
      <c r="BM1029">
        <v>727.32</v>
      </c>
      <c r="BP1029" s="3">
        <v>45618</v>
      </c>
      <c r="BQ1029">
        <v>22809.02</v>
      </c>
    </row>
    <row r="1030" spans="1:71" x14ac:dyDescent="0.25">
      <c r="A1030" t="s">
        <v>1180</v>
      </c>
      <c r="B1030" t="s">
        <v>459</v>
      </c>
      <c r="C1030" s="2">
        <f>HYPERLINK("https://szao.dolgi.msk.ru/account/3470356654/", 3470356654)</f>
        <v>3470356654</v>
      </c>
      <c r="D1030" t="s">
        <v>29</v>
      </c>
      <c r="E1030">
        <v>98774.41</v>
      </c>
      <c r="AX1030">
        <v>13.03</v>
      </c>
      <c r="AY1030">
        <v>10.72</v>
      </c>
      <c r="AZ1030" t="s">
        <v>35</v>
      </c>
      <c r="BA1030" t="s">
        <v>36</v>
      </c>
      <c r="BB1030">
        <v>98774.41</v>
      </c>
      <c r="BC1030">
        <v>98774.41</v>
      </c>
      <c r="BD1030">
        <v>98774.41</v>
      </c>
      <c r="BE1030">
        <v>98774.41</v>
      </c>
      <c r="BF1030">
        <v>89559.17</v>
      </c>
      <c r="BG1030">
        <v>24851.85</v>
      </c>
      <c r="BH1030">
        <v>21498.73</v>
      </c>
      <c r="BI1030">
        <v>0</v>
      </c>
      <c r="BJ1030">
        <v>0</v>
      </c>
      <c r="BK1030">
        <v>23435.26</v>
      </c>
      <c r="BL1030">
        <v>27130.3</v>
      </c>
      <c r="BM1030">
        <v>1858.27</v>
      </c>
      <c r="BP1030" s="3">
        <v>45667</v>
      </c>
      <c r="BQ1030">
        <v>8596.5400000000009</v>
      </c>
      <c r="BR1030" s="3">
        <v>45201</v>
      </c>
      <c r="BS1030" t="s">
        <v>1181</v>
      </c>
    </row>
    <row r="1031" spans="1:71" x14ac:dyDescent="0.25">
      <c r="A1031" t="s">
        <v>1182</v>
      </c>
      <c r="B1031" t="s">
        <v>98</v>
      </c>
      <c r="C1031" s="2">
        <f>HYPERLINK("https://szao.dolgi.msk.ru/account/3470356865/", 3470356865)</f>
        <v>3470356865</v>
      </c>
      <c r="D1031" t="s">
        <v>29</v>
      </c>
      <c r="E1031">
        <v>17603.82</v>
      </c>
      <c r="AX1031">
        <v>3.25</v>
      </c>
      <c r="AY1031">
        <v>3.21</v>
      </c>
      <c r="AZ1031" t="s">
        <v>69</v>
      </c>
      <c r="BA1031" t="s">
        <v>49</v>
      </c>
      <c r="BB1031">
        <v>17603.82</v>
      </c>
      <c r="BC1031">
        <v>17603.82</v>
      </c>
      <c r="BD1031">
        <v>17603.82</v>
      </c>
      <c r="BE1031">
        <v>17603.82</v>
      </c>
      <c r="BF1031">
        <v>12114.77</v>
      </c>
      <c r="BG1031">
        <v>6107.77</v>
      </c>
      <c r="BH1031">
        <v>873.22</v>
      </c>
      <c r="BI1031">
        <v>0</v>
      </c>
      <c r="BJ1031">
        <v>0</v>
      </c>
      <c r="BK1031">
        <v>670.4</v>
      </c>
      <c r="BL1031">
        <v>8578.82</v>
      </c>
      <c r="BM1031">
        <v>1373.61</v>
      </c>
      <c r="BP1031" s="3">
        <v>45562</v>
      </c>
      <c r="BQ1031">
        <v>2774.5</v>
      </c>
    </row>
    <row r="1032" spans="1:71" x14ac:dyDescent="0.25">
      <c r="A1032" t="s">
        <v>1182</v>
      </c>
      <c r="B1032" t="s">
        <v>481</v>
      </c>
      <c r="C1032" s="2">
        <f>HYPERLINK("https://szao.dolgi.msk.ru/account/3470356961/", 3470356961)</f>
        <v>3470356961</v>
      </c>
      <c r="D1032" t="s">
        <v>29</v>
      </c>
      <c r="E1032">
        <v>203099.11</v>
      </c>
      <c r="AX1032">
        <v>36.54</v>
      </c>
      <c r="AY1032">
        <v>30.61</v>
      </c>
      <c r="AZ1032" t="s">
        <v>56</v>
      </c>
      <c r="BA1032" t="s">
        <v>36</v>
      </c>
      <c r="BB1032">
        <v>203099.11</v>
      </c>
      <c r="BC1032">
        <v>203099.11</v>
      </c>
      <c r="BD1032">
        <v>203099.11</v>
      </c>
      <c r="BE1032">
        <v>203099.11</v>
      </c>
      <c r="BF1032">
        <v>196410.28</v>
      </c>
      <c r="BG1032">
        <v>45781.46</v>
      </c>
      <c r="BH1032">
        <v>42388.99</v>
      </c>
      <c r="BI1032">
        <v>0</v>
      </c>
      <c r="BJ1032">
        <v>0</v>
      </c>
      <c r="BK1032">
        <v>32475.46</v>
      </c>
      <c r="BL1032">
        <v>72201.210000000006</v>
      </c>
      <c r="BM1032">
        <v>10251.99</v>
      </c>
      <c r="BP1032" s="3">
        <v>45260</v>
      </c>
      <c r="BQ1032">
        <v>0</v>
      </c>
      <c r="BR1032" s="3">
        <v>45355</v>
      </c>
      <c r="BS1032" t="s">
        <v>1183</v>
      </c>
    </row>
    <row r="1033" spans="1:71" x14ac:dyDescent="0.25">
      <c r="A1033" t="s">
        <v>1182</v>
      </c>
      <c r="B1033" t="s">
        <v>279</v>
      </c>
      <c r="C1033" s="2">
        <f>HYPERLINK("https://szao.dolgi.msk.ru/account/3470357067/", 3470357067)</f>
        <v>3470357067</v>
      </c>
      <c r="D1033" t="s">
        <v>29</v>
      </c>
      <c r="E1033">
        <v>159940.22</v>
      </c>
      <c r="AX1033">
        <v>15.45</v>
      </c>
      <c r="AY1033">
        <v>18.97</v>
      </c>
      <c r="AZ1033" t="s">
        <v>142</v>
      </c>
      <c r="BA1033" t="s">
        <v>36</v>
      </c>
      <c r="BB1033">
        <v>159940.22</v>
      </c>
      <c r="BC1033">
        <v>159940.22</v>
      </c>
      <c r="BD1033">
        <v>159940.22</v>
      </c>
      <c r="BE1033">
        <v>159940.22</v>
      </c>
      <c r="BF1033">
        <v>151456.9</v>
      </c>
      <c r="BG1033">
        <v>45111.199999999997</v>
      </c>
      <c r="BH1033">
        <v>17608.419999999998</v>
      </c>
      <c r="BI1033">
        <v>0</v>
      </c>
      <c r="BJ1033">
        <v>0</v>
      </c>
      <c r="BK1033">
        <v>13481.95</v>
      </c>
      <c r="BL1033">
        <v>72858.05</v>
      </c>
      <c r="BM1033">
        <v>10880.6</v>
      </c>
      <c r="BN1033">
        <v>0</v>
      </c>
      <c r="BP1033" s="3">
        <v>45686</v>
      </c>
      <c r="BQ1033">
        <v>0</v>
      </c>
      <c r="BR1033" s="3">
        <v>45355</v>
      </c>
      <c r="BS1033" t="s">
        <v>1184</v>
      </c>
    </row>
    <row r="1034" spans="1:71" x14ac:dyDescent="0.25">
      <c r="A1034" t="s">
        <v>1182</v>
      </c>
      <c r="B1034" t="s">
        <v>227</v>
      </c>
      <c r="C1034" s="2">
        <f>HYPERLINK("https://szao.dolgi.msk.ru/account/3470357171/", 3470357171)</f>
        <v>3470357171</v>
      </c>
      <c r="D1034" t="s">
        <v>29</v>
      </c>
      <c r="E1034">
        <v>17540.599999999999</v>
      </c>
      <c r="AX1034">
        <v>2.9</v>
      </c>
      <c r="AY1034">
        <v>2.98</v>
      </c>
      <c r="AZ1034" t="s">
        <v>40</v>
      </c>
      <c r="BA1034" t="s">
        <v>31</v>
      </c>
      <c r="BB1034">
        <v>17540.599999999999</v>
      </c>
      <c r="BC1034">
        <v>17540.599999999999</v>
      </c>
      <c r="BD1034">
        <v>17540.599999999999</v>
      </c>
      <c r="BE1034">
        <v>17540.599999999999</v>
      </c>
      <c r="BF1034">
        <v>19758.45</v>
      </c>
      <c r="BG1034">
        <v>5380.2</v>
      </c>
      <c r="BH1034">
        <v>1734.2</v>
      </c>
      <c r="BI1034">
        <v>0</v>
      </c>
      <c r="BJ1034">
        <v>0</v>
      </c>
      <c r="BK1034">
        <v>1331.39</v>
      </c>
      <c r="BL1034">
        <v>7839.56</v>
      </c>
      <c r="BM1034">
        <v>1255.25</v>
      </c>
      <c r="BN1034">
        <v>6746.43</v>
      </c>
      <c r="BO1034">
        <v>405.13</v>
      </c>
      <c r="BP1034" s="3">
        <v>45691</v>
      </c>
      <c r="BQ1034">
        <v>7151.56</v>
      </c>
      <c r="BR1034" s="3">
        <v>45323</v>
      </c>
      <c r="BS1034" t="s">
        <v>1185</v>
      </c>
    </row>
    <row r="1035" spans="1:71" x14ac:dyDescent="0.25">
      <c r="A1035" t="s">
        <v>1182</v>
      </c>
      <c r="B1035" t="s">
        <v>473</v>
      </c>
      <c r="C1035" s="2">
        <f>HYPERLINK("https://szao.dolgi.msk.ru/account/3470357235/", 3470357235)</f>
        <v>3470357235</v>
      </c>
      <c r="D1035" t="s">
        <v>29</v>
      </c>
      <c r="E1035">
        <v>24172.14</v>
      </c>
      <c r="AX1035">
        <v>2.59</v>
      </c>
      <c r="AY1035">
        <v>2.59</v>
      </c>
      <c r="AZ1035" t="s">
        <v>40</v>
      </c>
      <c r="BA1035" t="s">
        <v>31</v>
      </c>
      <c r="BB1035">
        <v>24172.14</v>
      </c>
      <c r="BC1035">
        <v>24172.14</v>
      </c>
      <c r="BD1035">
        <v>24172.14</v>
      </c>
      <c r="BE1035">
        <v>24172.14</v>
      </c>
      <c r="BF1035">
        <v>14829.64</v>
      </c>
      <c r="BG1035">
        <v>4832.6400000000003</v>
      </c>
      <c r="BH1035">
        <v>6409.88</v>
      </c>
      <c r="BI1035">
        <v>0</v>
      </c>
      <c r="BJ1035">
        <v>0</v>
      </c>
      <c r="BK1035">
        <v>4909.66</v>
      </c>
      <c r="BL1035">
        <v>6922.95</v>
      </c>
      <c r="BM1035">
        <v>1097.01</v>
      </c>
      <c r="BP1035" s="3">
        <v>45636</v>
      </c>
      <c r="BQ1035">
        <v>8704.66</v>
      </c>
    </row>
    <row r="1036" spans="1:71" x14ac:dyDescent="0.25">
      <c r="A1036" t="s">
        <v>1186</v>
      </c>
      <c r="B1036" t="s">
        <v>87</v>
      </c>
      <c r="C1036" s="2">
        <f>HYPERLINK("https://szao.dolgi.msk.ru/account/3470357251/", 3470357251)</f>
        <v>3470357251</v>
      </c>
      <c r="D1036" t="s">
        <v>29</v>
      </c>
      <c r="E1036">
        <v>5575.36</v>
      </c>
      <c r="AX1036">
        <v>12.78</v>
      </c>
      <c r="AY1036">
        <v>2.4</v>
      </c>
      <c r="AZ1036" t="s">
        <v>40</v>
      </c>
      <c r="BA1036" t="s">
        <v>36</v>
      </c>
      <c r="BB1036">
        <v>5575.36</v>
      </c>
      <c r="BC1036">
        <v>5575.36</v>
      </c>
      <c r="BD1036">
        <v>5575.36</v>
      </c>
      <c r="BE1036">
        <v>5575.36</v>
      </c>
      <c r="BF1036">
        <v>3249.15</v>
      </c>
      <c r="BG1036">
        <v>1583.83</v>
      </c>
      <c r="BH1036">
        <v>718.45</v>
      </c>
      <c r="BI1036">
        <v>0</v>
      </c>
      <c r="BJ1036">
        <v>0</v>
      </c>
      <c r="BK1036">
        <v>438.95</v>
      </c>
      <c r="BL1036">
        <v>2487.67</v>
      </c>
      <c r="BM1036">
        <v>346.46</v>
      </c>
      <c r="BP1036" s="3">
        <v>45653</v>
      </c>
      <c r="BQ1036">
        <v>2022.73</v>
      </c>
      <c r="BR1036" s="3">
        <v>45068</v>
      </c>
      <c r="BS1036" t="s">
        <v>1187</v>
      </c>
    </row>
    <row r="1037" spans="1:71" x14ac:dyDescent="0.25">
      <c r="A1037" t="s">
        <v>1186</v>
      </c>
      <c r="B1037" t="s">
        <v>197</v>
      </c>
      <c r="C1037" s="2">
        <f>HYPERLINK("https://szao.dolgi.msk.ru/account/3470357358/", 3470357358)</f>
        <v>3470357358</v>
      </c>
      <c r="D1037" t="s">
        <v>29</v>
      </c>
      <c r="E1037">
        <v>52520.08</v>
      </c>
      <c r="AX1037">
        <v>12.57</v>
      </c>
      <c r="AY1037">
        <v>11.72</v>
      </c>
      <c r="AZ1037" t="s">
        <v>45</v>
      </c>
      <c r="BA1037" t="s">
        <v>36</v>
      </c>
      <c r="BB1037">
        <v>52520.08</v>
      </c>
      <c r="BC1037">
        <v>52520.08</v>
      </c>
      <c r="BD1037">
        <v>52520.08</v>
      </c>
      <c r="BE1037">
        <v>52520.08</v>
      </c>
      <c r="BF1037">
        <v>48040.33</v>
      </c>
      <c r="BG1037">
        <v>15446.13</v>
      </c>
      <c r="BH1037">
        <v>2884.13</v>
      </c>
      <c r="BI1037">
        <v>0</v>
      </c>
      <c r="BJ1037">
        <v>0</v>
      </c>
      <c r="BK1037">
        <v>2250.4</v>
      </c>
      <c r="BL1037">
        <v>27809.42</v>
      </c>
      <c r="BM1037">
        <v>4130</v>
      </c>
      <c r="BP1037" s="3">
        <v>45336</v>
      </c>
      <c r="BQ1037">
        <v>3621.39</v>
      </c>
      <c r="BR1037" s="3">
        <v>45481</v>
      </c>
      <c r="BS1037" t="s">
        <v>1188</v>
      </c>
    </row>
    <row r="1038" spans="1:71" x14ac:dyDescent="0.25">
      <c r="A1038" t="s">
        <v>1189</v>
      </c>
      <c r="B1038" t="s">
        <v>28</v>
      </c>
      <c r="C1038" s="2">
        <f>HYPERLINK("https://szao.dolgi.msk.ru/account/3470478985/", 3470478985)</f>
        <v>3470478985</v>
      </c>
      <c r="D1038" t="s">
        <v>29</v>
      </c>
      <c r="E1038">
        <v>7247.05</v>
      </c>
      <c r="AX1038">
        <v>4.5999999999999996</v>
      </c>
      <c r="AY1038">
        <v>3.33</v>
      </c>
      <c r="AZ1038" t="s">
        <v>30</v>
      </c>
      <c r="BA1038" t="s">
        <v>49</v>
      </c>
      <c r="BB1038">
        <v>7247.05</v>
      </c>
      <c r="BC1038">
        <v>7247.05</v>
      </c>
      <c r="BD1038">
        <v>7247.05</v>
      </c>
      <c r="BE1038">
        <v>7247.05</v>
      </c>
      <c r="BF1038">
        <v>5071.7</v>
      </c>
      <c r="BG1038">
        <v>1526.21</v>
      </c>
      <c r="BH1038">
        <v>380.23</v>
      </c>
      <c r="BI1038">
        <v>1223.05</v>
      </c>
      <c r="BJ1038">
        <v>324.14999999999998</v>
      </c>
      <c r="BK1038">
        <v>565.84</v>
      </c>
      <c r="BL1038">
        <v>2434.63</v>
      </c>
      <c r="BM1038">
        <v>792.94</v>
      </c>
      <c r="BP1038" s="3">
        <v>45622</v>
      </c>
      <c r="BQ1038">
        <v>7491</v>
      </c>
      <c r="BR1038" s="3">
        <v>45510</v>
      </c>
      <c r="BS1038" t="s">
        <v>1190</v>
      </c>
    </row>
    <row r="1039" spans="1:71" x14ac:dyDescent="0.25">
      <c r="A1039" t="s">
        <v>1189</v>
      </c>
      <c r="B1039" t="s">
        <v>34</v>
      </c>
      <c r="C1039" s="2">
        <f>HYPERLINK("https://szao.dolgi.msk.ru/account/3470479005/", 3470479005)</f>
        <v>3470479005</v>
      </c>
      <c r="D1039" t="s">
        <v>29</v>
      </c>
      <c r="E1039">
        <v>47655.9</v>
      </c>
      <c r="AX1039">
        <v>11.36</v>
      </c>
      <c r="AY1039">
        <v>10.9</v>
      </c>
      <c r="AZ1039" t="s">
        <v>40</v>
      </c>
      <c r="BA1039" t="s">
        <v>63</v>
      </c>
      <c r="BB1039">
        <v>47655.9</v>
      </c>
      <c r="BC1039">
        <v>47655.9</v>
      </c>
      <c r="BD1039">
        <v>55175.360000000001</v>
      </c>
      <c r="BE1039">
        <v>55175.360000000001</v>
      </c>
      <c r="BF1039">
        <v>43285.68</v>
      </c>
      <c r="BG1039">
        <v>194.17</v>
      </c>
      <c r="BH1039">
        <v>-5389.26</v>
      </c>
      <c r="BI1039">
        <v>32941.050000000003</v>
      </c>
      <c r="BJ1039">
        <v>9515.8799999999992</v>
      </c>
      <c r="BK1039">
        <v>-2130.1999999999998</v>
      </c>
      <c r="BL1039">
        <v>9991.49</v>
      </c>
      <c r="BM1039">
        <v>2532.77</v>
      </c>
      <c r="BO1039">
        <v>3177.43</v>
      </c>
      <c r="BP1039" s="3">
        <v>45672</v>
      </c>
      <c r="BQ1039">
        <v>3177.43</v>
      </c>
      <c r="BR1039" s="3">
        <v>45631</v>
      </c>
      <c r="BS1039" t="s">
        <v>1191</v>
      </c>
    </row>
    <row r="1040" spans="1:71" x14ac:dyDescent="0.25">
      <c r="A1040" t="s">
        <v>1189</v>
      </c>
      <c r="B1040" t="s">
        <v>34</v>
      </c>
      <c r="C1040" s="2">
        <f>HYPERLINK("https://szao.dolgi.msk.ru/account/3470479048/", 3470479048)</f>
        <v>3470479048</v>
      </c>
      <c r="D1040" t="s">
        <v>29</v>
      </c>
      <c r="E1040">
        <v>7423.43</v>
      </c>
      <c r="AX1040">
        <v>2</v>
      </c>
      <c r="AY1040">
        <v>1.91</v>
      </c>
      <c r="AZ1040" t="s">
        <v>40</v>
      </c>
      <c r="BA1040" t="s">
        <v>31</v>
      </c>
      <c r="BB1040">
        <v>7423.43</v>
      </c>
      <c r="BC1040">
        <v>7423.43</v>
      </c>
      <c r="BD1040">
        <v>7423.43</v>
      </c>
      <c r="BE1040">
        <v>7423.43</v>
      </c>
      <c r="BF1040">
        <v>3541.06</v>
      </c>
      <c r="BG1040">
        <v>2012.13</v>
      </c>
      <c r="BH1040">
        <v>0</v>
      </c>
      <c r="BI1040">
        <v>0</v>
      </c>
      <c r="BJ1040">
        <v>0</v>
      </c>
      <c r="BK1040">
        <v>0</v>
      </c>
      <c r="BL1040">
        <v>4565.4399999999996</v>
      </c>
      <c r="BM1040">
        <v>845.86</v>
      </c>
      <c r="BP1040" s="3">
        <v>45653</v>
      </c>
      <c r="BQ1040">
        <v>3541.06</v>
      </c>
    </row>
    <row r="1041" spans="1:71" x14ac:dyDescent="0.25">
      <c r="A1041" t="s">
        <v>1189</v>
      </c>
      <c r="B1041" t="s">
        <v>48</v>
      </c>
      <c r="C1041" s="2">
        <f>HYPERLINK("https://szao.dolgi.msk.ru/account/3470478539/", 3470478539)</f>
        <v>3470478539</v>
      </c>
      <c r="D1041" t="s">
        <v>29</v>
      </c>
      <c r="E1041">
        <v>0</v>
      </c>
      <c r="AX1041">
        <v>2.19</v>
      </c>
      <c r="AZ1041" t="s">
        <v>40</v>
      </c>
      <c r="BA1041" t="s">
        <v>31</v>
      </c>
      <c r="BB1041">
        <v>0</v>
      </c>
      <c r="BC1041">
        <v>0</v>
      </c>
      <c r="BD1041">
        <v>0</v>
      </c>
      <c r="BE1041">
        <v>0</v>
      </c>
      <c r="BF1041">
        <v>0</v>
      </c>
      <c r="BG1041">
        <v>0</v>
      </c>
      <c r="BH1041">
        <v>0</v>
      </c>
      <c r="BI1041">
        <v>0</v>
      </c>
      <c r="BJ1041">
        <v>0</v>
      </c>
      <c r="BK1041">
        <v>0</v>
      </c>
      <c r="BL1041">
        <v>0</v>
      </c>
      <c r="BM1041">
        <v>0</v>
      </c>
      <c r="BO1041">
        <v>1968.52</v>
      </c>
      <c r="BP1041" s="3">
        <v>45692</v>
      </c>
      <c r="BQ1041">
        <v>1968.52</v>
      </c>
    </row>
    <row r="1042" spans="1:71" x14ac:dyDescent="0.25">
      <c r="A1042" t="s">
        <v>1189</v>
      </c>
      <c r="B1042" t="s">
        <v>48</v>
      </c>
      <c r="C1042" s="2">
        <f>HYPERLINK("https://szao.dolgi.msk.ru/account/3470478723/", 3470478723)</f>
        <v>3470478723</v>
      </c>
      <c r="D1042" t="s">
        <v>29</v>
      </c>
      <c r="E1042">
        <v>38939.08</v>
      </c>
      <c r="AX1042">
        <v>25.84</v>
      </c>
      <c r="AY1042">
        <v>16.91</v>
      </c>
      <c r="AZ1042" t="s">
        <v>56</v>
      </c>
      <c r="BA1042" t="s">
        <v>36</v>
      </c>
      <c r="BB1042">
        <v>38939.08</v>
      </c>
      <c r="BC1042">
        <v>38939.08</v>
      </c>
      <c r="BD1042">
        <v>40061.339999999997</v>
      </c>
      <c r="BE1042">
        <v>40061.339999999997</v>
      </c>
      <c r="BF1042">
        <v>36636.03</v>
      </c>
      <c r="BG1042">
        <v>9823.83</v>
      </c>
      <c r="BH1042">
        <v>2144.46</v>
      </c>
      <c r="BI1042">
        <v>-1122.26</v>
      </c>
      <c r="BJ1042">
        <v>3323.48</v>
      </c>
      <c r="BK1042">
        <v>2025.39</v>
      </c>
      <c r="BL1042">
        <v>15298.35</v>
      </c>
      <c r="BM1042">
        <v>7445.83</v>
      </c>
      <c r="BP1042" s="3">
        <v>45596</v>
      </c>
      <c r="BQ1042">
        <v>0</v>
      </c>
      <c r="BR1042" s="3">
        <v>45670</v>
      </c>
      <c r="BS1042" t="s">
        <v>1192</v>
      </c>
    </row>
    <row r="1043" spans="1:71" x14ac:dyDescent="0.25">
      <c r="A1043" t="s">
        <v>1189</v>
      </c>
      <c r="B1043" t="s">
        <v>80</v>
      </c>
      <c r="C1043" s="2">
        <f>HYPERLINK("https://szao.dolgi.msk.ru/account/3470479347/", 3470479347)</f>
        <v>3470479347</v>
      </c>
      <c r="D1043" t="s">
        <v>29</v>
      </c>
      <c r="E1043">
        <v>381488.7</v>
      </c>
      <c r="AX1043">
        <v>35.24</v>
      </c>
      <c r="AY1043">
        <v>35.14</v>
      </c>
      <c r="AZ1043" t="s">
        <v>56</v>
      </c>
      <c r="BA1043" t="s">
        <v>36</v>
      </c>
      <c r="BB1043">
        <v>381488.7</v>
      </c>
      <c r="BC1043">
        <v>377654.63</v>
      </c>
      <c r="BD1043">
        <v>381488.7</v>
      </c>
      <c r="BE1043">
        <v>377654.63</v>
      </c>
      <c r="BF1043">
        <v>370633.74</v>
      </c>
      <c r="BG1043">
        <v>37100.089999999997</v>
      </c>
      <c r="BH1043">
        <v>45211.05</v>
      </c>
      <c r="BI1043">
        <v>103941.3</v>
      </c>
      <c r="BJ1043">
        <v>30288.18</v>
      </c>
      <c r="BK1043">
        <v>57614.5</v>
      </c>
      <c r="BL1043">
        <v>91750.91</v>
      </c>
      <c r="BM1043">
        <v>15582.67</v>
      </c>
      <c r="BP1043" s="3">
        <v>45596</v>
      </c>
      <c r="BQ1043">
        <v>0</v>
      </c>
      <c r="BR1043" s="3">
        <v>45602</v>
      </c>
      <c r="BS1043" t="s">
        <v>1193</v>
      </c>
    </row>
    <row r="1044" spans="1:71" x14ac:dyDescent="0.25">
      <c r="A1044" t="s">
        <v>1189</v>
      </c>
      <c r="B1044" t="s">
        <v>152</v>
      </c>
      <c r="C1044" s="2">
        <f>HYPERLINK("https://szao.dolgi.msk.ru/account/3470320328/", 3470320328)</f>
        <v>3470320328</v>
      </c>
      <c r="D1044" t="s">
        <v>29</v>
      </c>
      <c r="E1044">
        <v>4211.33</v>
      </c>
      <c r="AX1044">
        <v>5.04</v>
      </c>
      <c r="AY1044">
        <v>4.53</v>
      </c>
      <c r="AZ1044" t="s">
        <v>40</v>
      </c>
      <c r="BA1044" t="s">
        <v>49</v>
      </c>
      <c r="BB1044">
        <v>4211.33</v>
      </c>
      <c r="BC1044">
        <v>4211.33</v>
      </c>
      <c r="BD1044">
        <v>4211.33</v>
      </c>
      <c r="BE1044">
        <v>4211.33</v>
      </c>
      <c r="BF1044">
        <v>3282.05</v>
      </c>
      <c r="BG1044">
        <v>481.62</v>
      </c>
      <c r="BH1044">
        <v>601.53</v>
      </c>
      <c r="BI1044">
        <v>961.42</v>
      </c>
      <c r="BJ1044">
        <v>249.7</v>
      </c>
      <c r="BK1044">
        <v>621.82000000000005</v>
      </c>
      <c r="BL1044">
        <v>1092.78</v>
      </c>
      <c r="BM1044">
        <v>202.46</v>
      </c>
      <c r="BP1044" s="3">
        <v>45653</v>
      </c>
      <c r="BQ1044">
        <v>847.58</v>
      </c>
    </row>
    <row r="1045" spans="1:71" x14ac:dyDescent="0.25">
      <c r="A1045" t="s">
        <v>1194</v>
      </c>
      <c r="B1045" t="s">
        <v>48</v>
      </c>
      <c r="C1045" s="2">
        <f>HYPERLINK("https://szao.dolgi.msk.ru/account/3470315852/", 3470315852)</f>
        <v>3470315852</v>
      </c>
      <c r="D1045" t="s">
        <v>29</v>
      </c>
      <c r="E1045">
        <v>443273.33</v>
      </c>
      <c r="AX1045">
        <v>85.79</v>
      </c>
      <c r="AY1045">
        <v>84.7</v>
      </c>
      <c r="AZ1045" t="s">
        <v>56</v>
      </c>
      <c r="BA1045" t="s">
        <v>36</v>
      </c>
      <c r="BB1045">
        <v>443273.33</v>
      </c>
      <c r="BC1045">
        <v>443273.33</v>
      </c>
      <c r="BD1045">
        <v>443273.33</v>
      </c>
      <c r="BE1045">
        <v>443273.33</v>
      </c>
      <c r="BF1045">
        <v>436525.97</v>
      </c>
      <c r="BG1045">
        <v>26611.41</v>
      </c>
      <c r="BH1045">
        <v>59721.86</v>
      </c>
      <c r="BI1045">
        <v>195178.67</v>
      </c>
      <c r="BJ1045">
        <v>51509.03</v>
      </c>
      <c r="BK1045">
        <v>78763.91</v>
      </c>
      <c r="BL1045">
        <v>25529.13</v>
      </c>
      <c r="BM1045">
        <v>5959.32</v>
      </c>
      <c r="BP1045" s="3">
        <v>44712</v>
      </c>
      <c r="BQ1045">
        <v>0</v>
      </c>
      <c r="BR1045" s="3">
        <v>45355</v>
      </c>
      <c r="BS1045" t="s">
        <v>1195</v>
      </c>
    </row>
    <row r="1046" spans="1:71" x14ac:dyDescent="0.25">
      <c r="A1046" t="s">
        <v>1194</v>
      </c>
      <c r="B1046" t="s">
        <v>147</v>
      </c>
      <c r="C1046" s="2">
        <f>HYPERLINK("https://szao.dolgi.msk.ru/account/3470265082/", 3470265082)</f>
        <v>3470265082</v>
      </c>
      <c r="D1046" t="s">
        <v>29</v>
      </c>
      <c r="E1046">
        <v>19964.16</v>
      </c>
      <c r="AX1046">
        <v>2.21</v>
      </c>
      <c r="AY1046">
        <v>2.1</v>
      </c>
      <c r="AZ1046" t="s">
        <v>40</v>
      </c>
      <c r="BA1046" t="s">
        <v>31</v>
      </c>
      <c r="BB1046">
        <v>19964.16</v>
      </c>
      <c r="BC1046">
        <v>19964.16</v>
      </c>
      <c r="BD1046">
        <v>19964.16</v>
      </c>
      <c r="BE1046">
        <v>19964.16</v>
      </c>
      <c r="BF1046">
        <v>10454.19</v>
      </c>
      <c r="BG1046">
        <v>5428.8</v>
      </c>
      <c r="BH1046">
        <v>1204.67</v>
      </c>
      <c r="BI1046">
        <v>3300.95</v>
      </c>
      <c r="BJ1046">
        <v>929.62</v>
      </c>
      <c r="BK1046">
        <v>1673.56</v>
      </c>
      <c r="BL1046">
        <v>5996.1</v>
      </c>
      <c r="BM1046">
        <v>1430.46</v>
      </c>
      <c r="BO1046">
        <v>9509.9699999999993</v>
      </c>
      <c r="BP1046" s="3">
        <v>45685</v>
      </c>
      <c r="BQ1046">
        <v>9509.9699999999993</v>
      </c>
      <c r="BR1046" s="3">
        <v>45498</v>
      </c>
      <c r="BS1046" t="s">
        <v>1196</v>
      </c>
    </row>
    <row r="1047" spans="1:71" x14ac:dyDescent="0.25">
      <c r="A1047" t="s">
        <v>1194</v>
      </c>
      <c r="B1047" t="s">
        <v>100</v>
      </c>
      <c r="C1047" s="2">
        <f>HYPERLINK("https://szao.dolgi.msk.ru/account/3470315908/", 3470315908)</f>
        <v>3470315908</v>
      </c>
      <c r="D1047" t="s">
        <v>29</v>
      </c>
      <c r="E1047">
        <v>3326.88</v>
      </c>
      <c r="AX1047">
        <v>4.71</v>
      </c>
      <c r="AY1047">
        <v>1.85</v>
      </c>
      <c r="AZ1047" t="s">
        <v>40</v>
      </c>
      <c r="BA1047" t="s">
        <v>49</v>
      </c>
      <c r="BB1047">
        <v>3326.88</v>
      </c>
      <c r="BC1047">
        <v>3326.88</v>
      </c>
      <c r="BD1047">
        <v>3326.89</v>
      </c>
      <c r="BE1047">
        <v>3326.89</v>
      </c>
      <c r="BF1047">
        <v>1531.17</v>
      </c>
      <c r="BG1047">
        <v>1557.76</v>
      </c>
      <c r="BH1047">
        <v>-0.01</v>
      </c>
      <c r="BI1047">
        <v>0</v>
      </c>
      <c r="BJ1047">
        <v>0.01</v>
      </c>
      <c r="BK1047">
        <v>0</v>
      </c>
      <c r="BL1047">
        <v>1428.36</v>
      </c>
      <c r="BM1047">
        <v>340.76</v>
      </c>
      <c r="BP1047" s="3">
        <v>45653</v>
      </c>
      <c r="BQ1047">
        <v>1531.17</v>
      </c>
      <c r="BR1047" s="3">
        <v>45700</v>
      </c>
      <c r="BS1047" t="s">
        <v>1197</v>
      </c>
    </row>
    <row r="1048" spans="1:71" x14ac:dyDescent="0.25">
      <c r="A1048" t="s">
        <v>1194</v>
      </c>
      <c r="B1048" t="s">
        <v>194</v>
      </c>
      <c r="C1048" s="2">
        <f>HYPERLINK("https://szao.dolgi.msk.ru/account/3470264442/", 3470264442)</f>
        <v>3470264442</v>
      </c>
      <c r="D1048" t="s">
        <v>29</v>
      </c>
      <c r="E1048">
        <v>368935.33</v>
      </c>
      <c r="AX1048">
        <v>19.54</v>
      </c>
      <c r="AY1048">
        <v>18.59</v>
      </c>
      <c r="AZ1048" t="s">
        <v>45</v>
      </c>
      <c r="BA1048" t="s">
        <v>36</v>
      </c>
      <c r="BB1048">
        <v>368935.33</v>
      </c>
      <c r="BC1048">
        <v>368935.33</v>
      </c>
      <c r="BD1048">
        <v>368935.33</v>
      </c>
      <c r="BE1048">
        <v>368935.33</v>
      </c>
      <c r="BF1048">
        <v>349087.91</v>
      </c>
      <c r="BG1048">
        <v>39618.870000000003</v>
      </c>
      <c r="BH1048">
        <v>39233.730000000003</v>
      </c>
      <c r="BI1048">
        <v>108579.67</v>
      </c>
      <c r="BJ1048">
        <v>33760.79</v>
      </c>
      <c r="BK1048">
        <v>60671.9</v>
      </c>
      <c r="BL1048">
        <v>74955.62</v>
      </c>
      <c r="BM1048">
        <v>12114.75</v>
      </c>
      <c r="BP1048" s="3">
        <v>45504</v>
      </c>
      <c r="BQ1048">
        <v>19541.71</v>
      </c>
      <c r="BR1048" s="3">
        <v>45670</v>
      </c>
      <c r="BS1048" t="s">
        <v>1198</v>
      </c>
    </row>
    <row r="1049" spans="1:71" x14ac:dyDescent="0.25">
      <c r="A1049" t="s">
        <v>1194</v>
      </c>
      <c r="B1049" t="s">
        <v>245</v>
      </c>
      <c r="C1049" s="2">
        <f>HYPERLINK("https://szao.dolgi.msk.ru/account/3470264733/", 3470264733)</f>
        <v>3470264733</v>
      </c>
      <c r="D1049" t="s">
        <v>29</v>
      </c>
      <c r="E1049">
        <v>164422.56</v>
      </c>
      <c r="AX1049">
        <v>18.510000000000002</v>
      </c>
      <c r="AY1049">
        <v>14.29</v>
      </c>
      <c r="AZ1049" t="s">
        <v>69</v>
      </c>
      <c r="BA1049" t="s">
        <v>36</v>
      </c>
      <c r="BB1049">
        <v>164422.56</v>
      </c>
      <c r="BC1049">
        <v>164422.56</v>
      </c>
      <c r="BD1049">
        <v>164422.56</v>
      </c>
      <c r="BE1049">
        <v>164422.56</v>
      </c>
      <c r="BF1049">
        <v>197287.59</v>
      </c>
      <c r="BG1049">
        <v>36238.25</v>
      </c>
      <c r="BH1049">
        <v>11754.87</v>
      </c>
      <c r="BI1049">
        <v>27885.17</v>
      </c>
      <c r="BJ1049">
        <v>7510.95</v>
      </c>
      <c r="BK1049">
        <v>14926.42</v>
      </c>
      <c r="BL1049">
        <v>53903.71</v>
      </c>
      <c r="BM1049">
        <v>12203.19</v>
      </c>
      <c r="BN1049">
        <v>44374.9</v>
      </c>
      <c r="BP1049" s="3">
        <v>45690</v>
      </c>
      <c r="BQ1049">
        <v>44374.9</v>
      </c>
      <c r="BR1049" s="3">
        <v>45569</v>
      </c>
      <c r="BS1049" t="s">
        <v>1199</v>
      </c>
    </row>
    <row r="1050" spans="1:71" x14ac:dyDescent="0.25">
      <c r="A1050" t="s">
        <v>1194</v>
      </c>
      <c r="B1050" t="s">
        <v>293</v>
      </c>
      <c r="C1050" s="2">
        <f>HYPERLINK("https://szao.dolgi.msk.ru/account/3470264741/", 3470264741)</f>
        <v>3470264741</v>
      </c>
      <c r="D1050" t="s">
        <v>29</v>
      </c>
      <c r="E1050">
        <v>42390.23</v>
      </c>
      <c r="AX1050">
        <v>7.33</v>
      </c>
      <c r="AY1050">
        <v>7.25</v>
      </c>
      <c r="AZ1050" t="s">
        <v>45</v>
      </c>
      <c r="BA1050" t="s">
        <v>66</v>
      </c>
      <c r="BB1050">
        <v>42390.23</v>
      </c>
      <c r="BC1050">
        <v>42390.23</v>
      </c>
      <c r="BD1050">
        <v>42390.23</v>
      </c>
      <c r="BE1050">
        <v>42390.23</v>
      </c>
      <c r="BF1050">
        <v>36545.9</v>
      </c>
      <c r="BG1050">
        <v>11331.12</v>
      </c>
      <c r="BH1050">
        <v>2917.84</v>
      </c>
      <c r="BI1050">
        <v>7193.94</v>
      </c>
      <c r="BJ1050">
        <v>2336.66</v>
      </c>
      <c r="BK1050">
        <v>3819.97</v>
      </c>
      <c r="BL1050">
        <v>11875.11</v>
      </c>
      <c r="BM1050">
        <v>2915.59</v>
      </c>
      <c r="BP1050" s="3">
        <v>45667</v>
      </c>
      <c r="BQ1050">
        <v>259.2</v>
      </c>
      <c r="BR1050" s="3">
        <v>45509</v>
      </c>
      <c r="BS1050" t="s">
        <v>1200</v>
      </c>
    </row>
    <row r="1051" spans="1:71" x14ac:dyDescent="0.25">
      <c r="A1051" t="s">
        <v>1194</v>
      </c>
      <c r="B1051" t="s">
        <v>410</v>
      </c>
      <c r="C1051" s="2">
        <f>HYPERLINK("https://szao.dolgi.msk.ru/account/3470599402/", 3470599402)</f>
        <v>3470599402</v>
      </c>
      <c r="D1051" t="s">
        <v>29</v>
      </c>
      <c r="E1051">
        <v>5556.44</v>
      </c>
      <c r="AX1051">
        <v>3.14</v>
      </c>
      <c r="AY1051">
        <v>3.09</v>
      </c>
      <c r="AZ1051" t="s">
        <v>35</v>
      </c>
      <c r="BA1051" t="s">
        <v>49</v>
      </c>
      <c r="BB1051">
        <v>5556.44</v>
      </c>
      <c r="BC1051">
        <v>5556.44</v>
      </c>
      <c r="BD1051">
        <v>5556.44</v>
      </c>
      <c r="BE1051">
        <v>5556.44</v>
      </c>
      <c r="BF1051">
        <v>5556.44</v>
      </c>
      <c r="BG1051">
        <v>2181.3200000000002</v>
      </c>
      <c r="BH1051">
        <v>0</v>
      </c>
      <c r="BI1051">
        <v>0</v>
      </c>
      <c r="BJ1051">
        <v>0</v>
      </c>
      <c r="BK1051">
        <v>0</v>
      </c>
      <c r="BL1051">
        <v>2695.36</v>
      </c>
      <c r="BM1051">
        <v>679.76</v>
      </c>
      <c r="BO1051">
        <v>1801.02</v>
      </c>
      <c r="BP1051" s="3">
        <v>45695</v>
      </c>
      <c r="BQ1051">
        <v>1801.02</v>
      </c>
      <c r="BR1051" s="3">
        <v>45481</v>
      </c>
      <c r="BS1051" t="s">
        <v>1201</v>
      </c>
    </row>
    <row r="1052" spans="1:71" x14ac:dyDescent="0.25">
      <c r="A1052" t="s">
        <v>1202</v>
      </c>
      <c r="B1052" t="s">
        <v>80</v>
      </c>
      <c r="C1052" s="2">
        <f>HYPERLINK("https://szao.dolgi.msk.ru/account/3470311923/", 3470311923)</f>
        <v>3470311923</v>
      </c>
      <c r="D1052" t="s">
        <v>29</v>
      </c>
      <c r="E1052">
        <v>6896.4</v>
      </c>
      <c r="AX1052">
        <v>3.11</v>
      </c>
      <c r="AY1052">
        <v>3.44</v>
      </c>
      <c r="AZ1052" t="s">
        <v>30</v>
      </c>
      <c r="BA1052" t="s">
        <v>49</v>
      </c>
      <c r="BB1052">
        <v>6896.4</v>
      </c>
      <c r="BC1052">
        <v>6896.4</v>
      </c>
      <c r="BD1052">
        <v>6896.4</v>
      </c>
      <c r="BE1052">
        <v>6896.4</v>
      </c>
      <c r="BF1052">
        <v>4891.2700000000004</v>
      </c>
      <c r="BG1052">
        <v>2774.59</v>
      </c>
      <c r="BH1052">
        <v>622.07000000000005</v>
      </c>
      <c r="BI1052">
        <v>503.77</v>
      </c>
      <c r="BJ1052">
        <v>141.87</v>
      </c>
      <c r="BK1052">
        <v>586.5</v>
      </c>
      <c r="BL1052">
        <v>1782.35</v>
      </c>
      <c r="BM1052">
        <v>485.25</v>
      </c>
      <c r="BP1052" s="3">
        <v>45616</v>
      </c>
      <c r="BQ1052">
        <v>6291.96</v>
      </c>
    </row>
    <row r="1053" spans="1:71" x14ac:dyDescent="0.25">
      <c r="A1053" t="s">
        <v>1202</v>
      </c>
      <c r="B1053" t="s">
        <v>227</v>
      </c>
      <c r="C1053" s="2">
        <f>HYPERLINK("https://szao.dolgi.msk.ru/account/3470312037/", 3470312037)</f>
        <v>3470312037</v>
      </c>
      <c r="D1053" t="s">
        <v>29</v>
      </c>
      <c r="E1053">
        <v>286806.96000000002</v>
      </c>
      <c r="AX1053">
        <v>42.18</v>
      </c>
      <c r="AY1053">
        <v>37.159999999999997</v>
      </c>
      <c r="AZ1053" t="s">
        <v>69</v>
      </c>
      <c r="BA1053" t="s">
        <v>36</v>
      </c>
      <c r="BB1053">
        <v>286806.96000000002</v>
      </c>
      <c r="BC1053">
        <v>286806.96000000002</v>
      </c>
      <c r="BD1053">
        <v>286806.96000000002</v>
      </c>
      <c r="BE1053">
        <v>286806.96000000002</v>
      </c>
      <c r="BF1053">
        <v>279089.40999999997</v>
      </c>
      <c r="BG1053">
        <v>82989.94</v>
      </c>
      <c r="BH1053">
        <v>27650.2</v>
      </c>
      <c r="BI1053">
        <v>64663.09</v>
      </c>
      <c r="BJ1053">
        <v>20371.41</v>
      </c>
      <c r="BK1053">
        <v>11912.33</v>
      </c>
      <c r="BL1053">
        <v>64243.3</v>
      </c>
      <c r="BM1053">
        <v>14976.69</v>
      </c>
      <c r="BN1053">
        <v>18.27</v>
      </c>
      <c r="BP1053" s="3">
        <v>45682</v>
      </c>
      <c r="BQ1053">
        <v>18.27</v>
      </c>
      <c r="BR1053" s="3">
        <v>45356</v>
      </c>
      <c r="BS1053" t="s">
        <v>1203</v>
      </c>
    </row>
    <row r="1054" spans="1:71" x14ac:dyDescent="0.25">
      <c r="A1054" t="s">
        <v>1202</v>
      </c>
      <c r="B1054" t="s">
        <v>344</v>
      </c>
      <c r="C1054" s="2">
        <f>HYPERLINK("https://szao.dolgi.msk.ru/account/3470265779/", 3470265779)</f>
        <v>3470265779</v>
      </c>
      <c r="D1054" t="s">
        <v>29</v>
      </c>
      <c r="E1054">
        <v>17545.68</v>
      </c>
      <c r="AX1054">
        <v>2.89</v>
      </c>
      <c r="AY1054">
        <v>2.95</v>
      </c>
      <c r="AZ1054" t="s">
        <v>69</v>
      </c>
      <c r="BA1054" t="s">
        <v>31</v>
      </c>
      <c r="BB1054">
        <v>17545.68</v>
      </c>
      <c r="BC1054">
        <v>17377.87</v>
      </c>
      <c r="BD1054">
        <v>17545.68</v>
      </c>
      <c r="BE1054">
        <v>17377.87</v>
      </c>
      <c r="BF1054">
        <v>11589.29</v>
      </c>
      <c r="BG1054">
        <v>7277.28</v>
      </c>
      <c r="BH1054">
        <v>1050.47</v>
      </c>
      <c r="BI1054">
        <v>850.84</v>
      </c>
      <c r="BJ1054">
        <v>239.62</v>
      </c>
      <c r="BK1054">
        <v>990.44</v>
      </c>
      <c r="BL1054">
        <v>5609.73</v>
      </c>
      <c r="BM1054">
        <v>1527.3</v>
      </c>
      <c r="BP1054" s="3">
        <v>45590</v>
      </c>
      <c r="BQ1054">
        <v>21062.48</v>
      </c>
      <c r="BR1054" s="3">
        <v>45495</v>
      </c>
      <c r="BS1054" t="s">
        <v>1204</v>
      </c>
    </row>
    <row r="1055" spans="1:71" x14ac:dyDescent="0.25">
      <c r="A1055" t="s">
        <v>1202</v>
      </c>
      <c r="B1055" t="s">
        <v>238</v>
      </c>
      <c r="C1055" s="2">
        <f>HYPERLINK("https://szao.dolgi.msk.ru/account/3470265867/", 3470265867)</f>
        <v>3470265867</v>
      </c>
      <c r="D1055" t="s">
        <v>29</v>
      </c>
      <c r="E1055">
        <v>507191.24</v>
      </c>
      <c r="AX1055">
        <v>26.54</v>
      </c>
      <c r="AY1055">
        <v>24.37</v>
      </c>
      <c r="AZ1055" t="s">
        <v>40</v>
      </c>
      <c r="BA1055" t="s">
        <v>36</v>
      </c>
      <c r="BB1055">
        <v>507191.24</v>
      </c>
      <c r="BC1055">
        <v>507191.24</v>
      </c>
      <c r="BD1055">
        <v>507191.24</v>
      </c>
      <c r="BE1055">
        <v>507191.24</v>
      </c>
      <c r="BF1055">
        <v>486377.84</v>
      </c>
      <c r="BG1055">
        <v>87497.919999999998</v>
      </c>
      <c r="BH1055">
        <v>37801.599999999999</v>
      </c>
      <c r="BI1055">
        <v>185531.77</v>
      </c>
      <c r="BJ1055">
        <v>48907.360000000001</v>
      </c>
      <c r="BK1055">
        <v>61553.57</v>
      </c>
      <c r="BL1055">
        <v>68941.97</v>
      </c>
      <c r="BM1055">
        <v>16957.05</v>
      </c>
      <c r="BN1055">
        <v>8000</v>
      </c>
      <c r="BP1055" s="3">
        <v>45684</v>
      </c>
      <c r="BQ1055">
        <v>8000</v>
      </c>
      <c r="BR1055" s="3">
        <v>45691</v>
      </c>
      <c r="BS1055" t="s">
        <v>1205</v>
      </c>
    </row>
    <row r="1056" spans="1:71" x14ac:dyDescent="0.25">
      <c r="A1056" t="s">
        <v>1202</v>
      </c>
      <c r="B1056" t="s">
        <v>483</v>
      </c>
      <c r="C1056" s="2">
        <f>HYPERLINK("https://szao.dolgi.msk.ru/account/3470265904/", 3470265904)</f>
        <v>3470265904</v>
      </c>
      <c r="D1056" t="s">
        <v>29</v>
      </c>
      <c r="E1056">
        <v>19591.849999999999</v>
      </c>
      <c r="AX1056">
        <v>2.67</v>
      </c>
      <c r="AY1056">
        <v>2.68</v>
      </c>
      <c r="AZ1056" t="s">
        <v>40</v>
      </c>
      <c r="BA1056" t="s">
        <v>31</v>
      </c>
      <c r="BB1056">
        <v>19591.849999999999</v>
      </c>
      <c r="BC1056">
        <v>19591.849999999999</v>
      </c>
      <c r="BD1056">
        <v>19591.849999999999</v>
      </c>
      <c r="BE1056">
        <v>19591.849999999999</v>
      </c>
      <c r="BF1056">
        <v>12287.52</v>
      </c>
      <c r="BG1056">
        <v>6348.66</v>
      </c>
      <c r="BH1056">
        <v>890.93</v>
      </c>
      <c r="BI1056">
        <v>3022.65</v>
      </c>
      <c r="BJ1056">
        <v>851.25</v>
      </c>
      <c r="BK1056">
        <v>1608.69</v>
      </c>
      <c r="BL1056">
        <v>5399.58</v>
      </c>
      <c r="BM1056">
        <v>1470.09</v>
      </c>
      <c r="BO1056">
        <v>7304.33</v>
      </c>
      <c r="BP1056" s="3">
        <v>45681</v>
      </c>
      <c r="BQ1056">
        <v>7304.33</v>
      </c>
    </row>
    <row r="1057" spans="1:71" x14ac:dyDescent="0.25">
      <c r="A1057" t="s">
        <v>1206</v>
      </c>
      <c r="B1057" t="s">
        <v>160</v>
      </c>
      <c r="C1057" s="2">
        <f>HYPERLINK("https://szao.dolgi.msk.ru/account/3470250809/", 3470250809)</f>
        <v>3470250809</v>
      </c>
      <c r="D1057" t="s">
        <v>29</v>
      </c>
      <c r="E1057">
        <v>12087.37</v>
      </c>
      <c r="AX1057">
        <v>2.06</v>
      </c>
      <c r="AY1057">
        <v>1.83</v>
      </c>
      <c r="AZ1057" t="s">
        <v>69</v>
      </c>
      <c r="BA1057" t="s">
        <v>31</v>
      </c>
      <c r="BB1057">
        <v>12087.37</v>
      </c>
      <c r="BC1057">
        <v>12087.37</v>
      </c>
      <c r="BD1057">
        <v>12262.64</v>
      </c>
      <c r="BE1057">
        <v>12262.64</v>
      </c>
      <c r="BF1057">
        <v>5482.06</v>
      </c>
      <c r="BG1057">
        <v>5457.33</v>
      </c>
      <c r="BH1057">
        <v>-141.57</v>
      </c>
      <c r="BI1057">
        <v>337.49</v>
      </c>
      <c r="BJ1057">
        <v>145.80000000000001</v>
      </c>
      <c r="BK1057">
        <v>-33.700000000000003</v>
      </c>
      <c r="BL1057">
        <v>5056.62</v>
      </c>
      <c r="BM1057">
        <v>1265.4000000000001</v>
      </c>
      <c r="BP1057" s="3">
        <v>45587</v>
      </c>
      <c r="BQ1057">
        <v>3708.14</v>
      </c>
    </row>
    <row r="1058" spans="1:71" x14ac:dyDescent="0.25">
      <c r="A1058" t="s">
        <v>1206</v>
      </c>
      <c r="B1058" t="s">
        <v>352</v>
      </c>
      <c r="C1058" s="2">
        <f>HYPERLINK("https://szao.dolgi.msk.ru/account/3470311851/", 3470311851)</f>
        <v>3470311851</v>
      </c>
      <c r="D1058" t="s">
        <v>29</v>
      </c>
      <c r="E1058">
        <v>10220.99</v>
      </c>
      <c r="AX1058">
        <v>2.83</v>
      </c>
      <c r="AY1058">
        <v>3.56</v>
      </c>
      <c r="AZ1058" t="s">
        <v>69</v>
      </c>
      <c r="BA1058" t="s">
        <v>31</v>
      </c>
      <c r="BB1058">
        <v>10220.99</v>
      </c>
      <c r="BC1058">
        <v>10220.99</v>
      </c>
      <c r="BD1058">
        <v>10220.99</v>
      </c>
      <c r="BE1058">
        <v>10220.99</v>
      </c>
      <c r="BF1058">
        <v>7348.64</v>
      </c>
      <c r="BG1058">
        <v>4588.8599999999997</v>
      </c>
      <c r="BH1058">
        <v>66.150000000000006</v>
      </c>
      <c r="BI1058">
        <v>376.38</v>
      </c>
      <c r="BJ1058">
        <v>109.62</v>
      </c>
      <c r="BK1058">
        <v>132.72999999999999</v>
      </c>
      <c r="BL1058">
        <v>3783.76</v>
      </c>
      <c r="BM1058">
        <v>1163.49</v>
      </c>
      <c r="BP1058" s="3">
        <v>45593</v>
      </c>
      <c r="BQ1058">
        <v>24894.41</v>
      </c>
      <c r="BR1058" s="3">
        <v>45510</v>
      </c>
      <c r="BS1058" t="s">
        <v>1207</v>
      </c>
    </row>
    <row r="1059" spans="1:71" x14ac:dyDescent="0.25">
      <c r="A1059" t="s">
        <v>1208</v>
      </c>
      <c r="B1059" t="s">
        <v>173</v>
      </c>
      <c r="C1059" s="2">
        <f>HYPERLINK("https://szao.dolgi.msk.ru/account/3470251617/", 3470251617)</f>
        <v>3470251617</v>
      </c>
      <c r="D1059" t="s">
        <v>29</v>
      </c>
      <c r="E1059">
        <v>88200.08</v>
      </c>
      <c r="AX1059">
        <v>29.94</v>
      </c>
      <c r="AY1059">
        <v>19.899999999999999</v>
      </c>
      <c r="AZ1059" t="s">
        <v>40</v>
      </c>
      <c r="BA1059" t="s">
        <v>36</v>
      </c>
      <c r="BB1059">
        <v>118200.08</v>
      </c>
      <c r="BC1059">
        <v>118200.08</v>
      </c>
      <c r="BD1059">
        <v>89760.87</v>
      </c>
      <c r="BE1059">
        <v>118200.08</v>
      </c>
      <c r="BF1059">
        <v>113768.89</v>
      </c>
      <c r="BG1059">
        <v>-1560.79</v>
      </c>
      <c r="BH1059">
        <v>9716.82</v>
      </c>
      <c r="BI1059">
        <v>33073.019999999997</v>
      </c>
      <c r="BJ1059">
        <v>8928.7999999999993</v>
      </c>
      <c r="BK1059">
        <v>15933.24</v>
      </c>
      <c r="BL1059">
        <v>20478.490000000002</v>
      </c>
      <c r="BM1059">
        <v>1630.5</v>
      </c>
      <c r="BN1059">
        <v>11643.53</v>
      </c>
      <c r="BO1059">
        <v>30000</v>
      </c>
      <c r="BP1059" s="3">
        <v>45696</v>
      </c>
      <c r="BQ1059">
        <v>30000</v>
      </c>
      <c r="BR1059" s="3">
        <v>45653</v>
      </c>
      <c r="BS1059" t="s">
        <v>1209</v>
      </c>
    </row>
    <row r="1060" spans="1:71" x14ac:dyDescent="0.25">
      <c r="A1060" t="s">
        <v>1208</v>
      </c>
      <c r="B1060" t="s">
        <v>279</v>
      </c>
      <c r="C1060" s="2">
        <f>HYPERLINK("https://szao.dolgi.msk.ru/account/3470251879/", 3470251879)</f>
        <v>3470251879</v>
      </c>
      <c r="D1060" t="s">
        <v>29</v>
      </c>
      <c r="E1060">
        <v>21513.66</v>
      </c>
      <c r="AX1060">
        <v>3.87</v>
      </c>
      <c r="AY1060">
        <v>4.41</v>
      </c>
      <c r="AZ1060" t="s">
        <v>40</v>
      </c>
      <c r="BA1060" t="s">
        <v>49</v>
      </c>
      <c r="BB1060">
        <v>21513.66</v>
      </c>
      <c r="BC1060">
        <v>21513.66</v>
      </c>
      <c r="BD1060">
        <v>21513.66</v>
      </c>
      <c r="BE1060">
        <v>21513.66</v>
      </c>
      <c r="BF1060">
        <v>21513.66</v>
      </c>
      <c r="BG1060">
        <v>4753.53</v>
      </c>
      <c r="BH1060">
        <v>2290.36</v>
      </c>
      <c r="BI1060">
        <v>5932.28</v>
      </c>
      <c r="BJ1060">
        <v>1621.69</v>
      </c>
      <c r="BK1060">
        <v>2991.94</v>
      </c>
      <c r="BL1060">
        <v>2523.9699999999998</v>
      </c>
      <c r="BM1060">
        <v>1399.89</v>
      </c>
      <c r="BO1060">
        <v>4881.05</v>
      </c>
      <c r="BP1060" s="3">
        <v>45693</v>
      </c>
      <c r="BQ1060">
        <v>4881.05</v>
      </c>
      <c r="BR1060" s="3">
        <v>45534</v>
      </c>
      <c r="BS1060" t="s">
        <v>1210</v>
      </c>
    </row>
    <row r="1061" spans="1:71" x14ac:dyDescent="0.25">
      <c r="A1061" t="s">
        <v>1211</v>
      </c>
      <c r="B1061" t="s">
        <v>147</v>
      </c>
      <c r="C1061" s="2">
        <f>HYPERLINK("https://szao.dolgi.msk.ru/account/3470253559/", 3470253559)</f>
        <v>3470253559</v>
      </c>
      <c r="D1061" t="s">
        <v>29</v>
      </c>
      <c r="E1061">
        <v>19493.61</v>
      </c>
      <c r="AX1061">
        <v>2.79</v>
      </c>
      <c r="AY1061">
        <v>2.79</v>
      </c>
      <c r="AZ1061" t="s">
        <v>40</v>
      </c>
      <c r="BA1061" t="s">
        <v>31</v>
      </c>
      <c r="BB1061">
        <v>19493.61</v>
      </c>
      <c r="BC1061">
        <v>19493.61</v>
      </c>
      <c r="BD1061">
        <v>19493.61</v>
      </c>
      <c r="BE1061">
        <v>19493.61</v>
      </c>
      <c r="BF1061">
        <v>12024</v>
      </c>
      <c r="BG1061">
        <v>5213.41</v>
      </c>
      <c r="BH1061">
        <v>1165.6199999999999</v>
      </c>
      <c r="BI1061">
        <v>2486.6799999999998</v>
      </c>
      <c r="BJ1061">
        <v>718.27</v>
      </c>
      <c r="BK1061">
        <v>1510.44</v>
      </c>
      <c r="BL1061">
        <v>7351.32</v>
      </c>
      <c r="BM1061">
        <v>1047.8699999999999</v>
      </c>
      <c r="BP1061" s="3">
        <v>45636</v>
      </c>
      <c r="BQ1061">
        <v>4508.67</v>
      </c>
    </row>
    <row r="1062" spans="1:71" x14ac:dyDescent="0.25">
      <c r="A1062" t="s">
        <v>1211</v>
      </c>
      <c r="B1062" t="s">
        <v>98</v>
      </c>
      <c r="C1062" s="2">
        <f>HYPERLINK("https://szao.dolgi.msk.ru/account/3470252601/", 3470252601)</f>
        <v>3470252601</v>
      </c>
      <c r="D1062" t="s">
        <v>29</v>
      </c>
      <c r="E1062">
        <v>28492.91</v>
      </c>
      <c r="AX1062">
        <v>3.11</v>
      </c>
      <c r="AY1062">
        <v>3.58</v>
      </c>
      <c r="AZ1062" t="s">
        <v>30</v>
      </c>
      <c r="BA1062" t="s">
        <v>49</v>
      </c>
      <c r="BB1062">
        <v>28492.91</v>
      </c>
      <c r="BC1062">
        <v>28492.91</v>
      </c>
      <c r="BD1062">
        <v>28492.91</v>
      </c>
      <c r="BE1062">
        <v>28492.91</v>
      </c>
      <c r="BF1062">
        <v>20525.939999999999</v>
      </c>
      <c r="BG1062">
        <v>4851.2299999999996</v>
      </c>
      <c r="BH1062">
        <v>498.34</v>
      </c>
      <c r="BI1062">
        <v>9909.19</v>
      </c>
      <c r="BJ1062">
        <v>2790.66</v>
      </c>
      <c r="BK1062">
        <v>2525.0500000000002</v>
      </c>
      <c r="BL1062">
        <v>6930.56</v>
      </c>
      <c r="BM1062">
        <v>987.88</v>
      </c>
      <c r="BN1062">
        <v>15384.71</v>
      </c>
      <c r="BP1062" s="3">
        <v>45670</v>
      </c>
      <c r="BQ1062">
        <v>15384.71</v>
      </c>
      <c r="BR1062" s="3">
        <v>45497</v>
      </c>
      <c r="BS1062" t="s">
        <v>1212</v>
      </c>
    </row>
    <row r="1063" spans="1:71" x14ac:dyDescent="0.25">
      <c r="A1063" t="s">
        <v>1211</v>
      </c>
      <c r="B1063" t="s">
        <v>100</v>
      </c>
      <c r="C1063" s="2">
        <f>HYPERLINK("https://szao.dolgi.msk.ru/account/3470252628/", 3470252628)</f>
        <v>3470252628</v>
      </c>
      <c r="D1063" t="s">
        <v>29</v>
      </c>
      <c r="E1063">
        <v>13949.7</v>
      </c>
      <c r="AX1063">
        <v>2.13</v>
      </c>
      <c r="AY1063">
        <v>2.29</v>
      </c>
      <c r="AZ1063" t="s">
        <v>40</v>
      </c>
      <c r="BA1063" t="s">
        <v>31</v>
      </c>
      <c r="BB1063">
        <v>13949.7</v>
      </c>
      <c r="BC1063">
        <v>13949.7</v>
      </c>
      <c r="BD1063">
        <v>13949.7</v>
      </c>
      <c r="BE1063">
        <v>13949.7</v>
      </c>
      <c r="BF1063">
        <v>7849.44</v>
      </c>
      <c r="BG1063">
        <v>3415.08</v>
      </c>
      <c r="BH1063">
        <v>567.25</v>
      </c>
      <c r="BI1063">
        <v>1432.16</v>
      </c>
      <c r="BJ1063">
        <v>388.11</v>
      </c>
      <c r="BK1063">
        <v>743.61</v>
      </c>
      <c r="BL1063">
        <v>6442.23</v>
      </c>
      <c r="BM1063">
        <v>961.26</v>
      </c>
      <c r="BO1063">
        <v>6100.26</v>
      </c>
      <c r="BP1063" s="3">
        <v>45684</v>
      </c>
      <c r="BQ1063">
        <v>6100.26</v>
      </c>
    </row>
    <row r="1064" spans="1:71" x14ac:dyDescent="0.25">
      <c r="A1064" t="s">
        <v>1211</v>
      </c>
      <c r="B1064" t="s">
        <v>197</v>
      </c>
      <c r="C1064" s="2">
        <f>HYPERLINK("https://szao.dolgi.msk.ru/account/3470253145/", 3470253145)</f>
        <v>3470253145</v>
      </c>
      <c r="D1064" t="s">
        <v>29</v>
      </c>
      <c r="E1064">
        <v>12372.62</v>
      </c>
      <c r="AX1064">
        <v>6.64</v>
      </c>
      <c r="AY1064">
        <v>2.0499999999999998</v>
      </c>
      <c r="AZ1064" t="s">
        <v>35</v>
      </c>
      <c r="BA1064" t="s">
        <v>66</v>
      </c>
      <c r="BB1064">
        <v>12372.62</v>
      </c>
      <c r="BC1064">
        <v>12372.62</v>
      </c>
      <c r="BD1064">
        <v>17682.310000000001</v>
      </c>
      <c r="BE1064">
        <v>17682.310000000001</v>
      </c>
      <c r="BF1064">
        <v>6328.07</v>
      </c>
      <c r="BG1064">
        <v>0</v>
      </c>
      <c r="BH1064">
        <v>-1914.71</v>
      </c>
      <c r="BI1064">
        <v>-1680.48</v>
      </c>
      <c r="BJ1064">
        <v>2081.87</v>
      </c>
      <c r="BK1064">
        <v>-1714.5</v>
      </c>
      <c r="BL1064">
        <v>15600.44</v>
      </c>
      <c r="BM1064">
        <v>0</v>
      </c>
      <c r="BO1064">
        <v>6044.55</v>
      </c>
      <c r="BP1064" s="3">
        <v>45672</v>
      </c>
      <c r="BQ1064">
        <v>6044.55</v>
      </c>
      <c r="BR1064" s="3">
        <v>45098</v>
      </c>
      <c r="BS1064" t="s">
        <v>1213</v>
      </c>
    </row>
    <row r="1065" spans="1:71" x14ac:dyDescent="0.25">
      <c r="A1065" t="s">
        <v>1211</v>
      </c>
      <c r="B1065" t="s">
        <v>207</v>
      </c>
      <c r="C1065" s="2">
        <f>HYPERLINK("https://szao.dolgi.msk.ru/account/3470253401/", 3470253401)</f>
        <v>3470253401</v>
      </c>
      <c r="D1065" t="s">
        <v>29</v>
      </c>
      <c r="E1065">
        <v>173324.45</v>
      </c>
      <c r="AX1065">
        <v>15.91</v>
      </c>
      <c r="AY1065">
        <v>10.06</v>
      </c>
      <c r="AZ1065" t="s">
        <v>40</v>
      </c>
      <c r="BA1065" t="s">
        <v>36</v>
      </c>
      <c r="BB1065">
        <v>173324.45</v>
      </c>
      <c r="BC1065">
        <v>173324.45</v>
      </c>
      <c r="BD1065">
        <v>185729.54</v>
      </c>
      <c r="BE1065">
        <v>185729.54</v>
      </c>
      <c r="BF1065">
        <v>355188.39</v>
      </c>
      <c r="BG1065">
        <v>-12405.09</v>
      </c>
      <c r="BH1065">
        <v>21647.33</v>
      </c>
      <c r="BI1065">
        <v>59256.160000000003</v>
      </c>
      <c r="BJ1065">
        <v>19219.71</v>
      </c>
      <c r="BK1065">
        <v>36242.14</v>
      </c>
      <c r="BL1065">
        <v>48296.17</v>
      </c>
      <c r="BM1065">
        <v>1068.03</v>
      </c>
      <c r="BN1065">
        <v>185789.39</v>
      </c>
      <c r="BO1065">
        <v>13309.42</v>
      </c>
      <c r="BP1065" s="3">
        <v>45696</v>
      </c>
      <c r="BQ1065">
        <v>32760.94</v>
      </c>
      <c r="BR1065" s="3">
        <v>45442</v>
      </c>
      <c r="BS1065" t="s">
        <v>1214</v>
      </c>
    </row>
    <row r="1066" spans="1:71" x14ac:dyDescent="0.25">
      <c r="A1066" t="s">
        <v>1215</v>
      </c>
      <c r="B1066" t="s">
        <v>602</v>
      </c>
      <c r="C1066" s="2">
        <f>HYPERLINK("https://szao.dolgi.msk.ru/account/3470253823/", 3470253823)</f>
        <v>3470253823</v>
      </c>
      <c r="D1066" t="s">
        <v>29</v>
      </c>
      <c r="E1066">
        <v>10259.040000000001</v>
      </c>
      <c r="AX1066">
        <v>2.39</v>
      </c>
      <c r="AY1066">
        <v>2.62</v>
      </c>
      <c r="AZ1066" t="s">
        <v>40</v>
      </c>
      <c r="BA1066" t="s">
        <v>31</v>
      </c>
      <c r="BB1066">
        <v>10259.040000000001</v>
      </c>
      <c r="BC1066">
        <v>10259.040000000001</v>
      </c>
      <c r="BD1066">
        <v>10259.040000000001</v>
      </c>
      <c r="BE1066">
        <v>10259.040000000001</v>
      </c>
      <c r="BF1066">
        <v>6342.12</v>
      </c>
      <c r="BG1066">
        <v>1556.09</v>
      </c>
      <c r="BH1066">
        <v>684.83</v>
      </c>
      <c r="BI1066">
        <v>3358.77</v>
      </c>
      <c r="BJ1066">
        <v>889.88</v>
      </c>
      <c r="BK1066">
        <v>1235.8399999999999</v>
      </c>
      <c r="BL1066">
        <v>2074.0100000000002</v>
      </c>
      <c r="BM1066">
        <v>459.62</v>
      </c>
      <c r="BN1066">
        <v>5297.16</v>
      </c>
      <c r="BO1066">
        <v>3916.92</v>
      </c>
      <c r="BP1066" s="3">
        <v>45679</v>
      </c>
      <c r="BQ1066">
        <v>9214.08</v>
      </c>
      <c r="BR1066" s="3">
        <v>45481</v>
      </c>
      <c r="BS1066" t="s">
        <v>1216</v>
      </c>
    </row>
    <row r="1067" spans="1:71" x14ac:dyDescent="0.25">
      <c r="A1067" t="s">
        <v>1215</v>
      </c>
      <c r="B1067" t="s">
        <v>95</v>
      </c>
      <c r="C1067" s="2">
        <f>HYPERLINK("https://szao.dolgi.msk.ru/account/3470253911/", 3470253911)</f>
        <v>3470253911</v>
      </c>
      <c r="D1067" t="s">
        <v>29</v>
      </c>
      <c r="E1067">
        <v>415498.57</v>
      </c>
      <c r="AX1067">
        <v>19.649999999999999</v>
      </c>
      <c r="AY1067">
        <v>16.62</v>
      </c>
      <c r="AZ1067" t="s">
        <v>45</v>
      </c>
      <c r="BA1067" t="s">
        <v>36</v>
      </c>
      <c r="BB1067">
        <v>415498.57</v>
      </c>
      <c r="BC1067">
        <v>415498.57</v>
      </c>
      <c r="BD1067">
        <v>416768.25</v>
      </c>
      <c r="BE1067">
        <v>416768.25</v>
      </c>
      <c r="BF1067">
        <v>396034.79</v>
      </c>
      <c r="BG1067">
        <v>-765.21</v>
      </c>
      <c r="BH1067">
        <v>33030.04</v>
      </c>
      <c r="BI1067">
        <v>194654.81</v>
      </c>
      <c r="BJ1067">
        <v>52483.32</v>
      </c>
      <c r="BK1067">
        <v>90715.81</v>
      </c>
      <c r="BL1067">
        <v>45884.27</v>
      </c>
      <c r="BM1067">
        <v>-504.47</v>
      </c>
      <c r="BN1067">
        <v>2702.95</v>
      </c>
      <c r="BO1067">
        <v>5533.75</v>
      </c>
      <c r="BP1067" s="3">
        <v>45696</v>
      </c>
      <c r="BQ1067">
        <v>5515.95</v>
      </c>
      <c r="BR1067" s="3">
        <v>45442</v>
      </c>
      <c r="BS1067" t="s">
        <v>1217</v>
      </c>
    </row>
    <row r="1068" spans="1:71" x14ac:dyDescent="0.25">
      <c r="A1068" t="s">
        <v>1215</v>
      </c>
      <c r="B1068" t="s">
        <v>106</v>
      </c>
      <c r="C1068" s="2">
        <f>HYPERLINK("https://szao.dolgi.msk.ru/account/3470253938/", 3470253938)</f>
        <v>3470253938</v>
      </c>
      <c r="D1068" t="s">
        <v>29</v>
      </c>
      <c r="E1068">
        <v>86478.34</v>
      </c>
      <c r="AX1068">
        <v>11.19</v>
      </c>
      <c r="AY1068">
        <v>13.77</v>
      </c>
      <c r="AZ1068" t="s">
        <v>69</v>
      </c>
      <c r="BA1068" t="s">
        <v>63</v>
      </c>
      <c r="BB1068">
        <v>86478.34</v>
      </c>
      <c r="BC1068">
        <v>86478.34</v>
      </c>
      <c r="BD1068">
        <v>86478.34</v>
      </c>
      <c r="BE1068">
        <v>86478.34</v>
      </c>
      <c r="BF1068">
        <v>80197.210000000006</v>
      </c>
      <c r="BG1068">
        <v>11358.24</v>
      </c>
      <c r="BH1068">
        <v>11993.39</v>
      </c>
      <c r="BI1068">
        <v>30136.400000000001</v>
      </c>
      <c r="BJ1068">
        <v>8490.27</v>
      </c>
      <c r="BK1068">
        <v>15723.04</v>
      </c>
      <c r="BL1068">
        <v>7267.7</v>
      </c>
      <c r="BM1068">
        <v>1509.3</v>
      </c>
      <c r="BP1068" s="3">
        <v>45530</v>
      </c>
      <c r="BQ1068">
        <v>3908.24</v>
      </c>
      <c r="BR1068" s="3">
        <v>45079</v>
      </c>
      <c r="BS1068" t="s">
        <v>1218</v>
      </c>
    </row>
    <row r="1069" spans="1:71" x14ac:dyDescent="0.25">
      <c r="A1069" t="s">
        <v>1215</v>
      </c>
      <c r="B1069" t="s">
        <v>293</v>
      </c>
      <c r="C1069" s="2">
        <f>HYPERLINK("https://szao.dolgi.msk.ru/account/3470314753/", 3470314753)</f>
        <v>3470314753</v>
      </c>
      <c r="D1069" t="s">
        <v>29</v>
      </c>
      <c r="E1069">
        <v>7140.86</v>
      </c>
      <c r="AX1069">
        <v>5</v>
      </c>
      <c r="AY1069">
        <v>3.38</v>
      </c>
      <c r="AZ1069" t="s">
        <v>40</v>
      </c>
      <c r="BA1069" t="s">
        <v>49</v>
      </c>
      <c r="BB1069">
        <v>7140.86</v>
      </c>
      <c r="BC1069">
        <v>7140.86</v>
      </c>
      <c r="BD1069">
        <v>7140.86</v>
      </c>
      <c r="BE1069">
        <v>7140.86</v>
      </c>
      <c r="BF1069">
        <v>5028.7299999999996</v>
      </c>
      <c r="BG1069">
        <v>1653.17</v>
      </c>
      <c r="BH1069">
        <v>269.17</v>
      </c>
      <c r="BI1069">
        <v>1824.13</v>
      </c>
      <c r="BJ1069">
        <v>476.27</v>
      </c>
      <c r="BK1069">
        <v>568.96</v>
      </c>
      <c r="BL1069">
        <v>1945.2</v>
      </c>
      <c r="BM1069">
        <v>403.96</v>
      </c>
      <c r="BP1069" s="3">
        <v>45653</v>
      </c>
      <c r="BQ1069">
        <v>1890.2</v>
      </c>
    </row>
    <row r="1070" spans="1:71" x14ac:dyDescent="0.25">
      <c r="A1070" t="s">
        <v>1215</v>
      </c>
      <c r="B1070" t="s">
        <v>197</v>
      </c>
      <c r="C1070" s="2">
        <f>HYPERLINK("https://szao.dolgi.msk.ru/account/3470254164/", 3470254164)</f>
        <v>3470254164</v>
      </c>
      <c r="D1070" t="s">
        <v>29</v>
      </c>
      <c r="E1070">
        <v>19074.5</v>
      </c>
      <c r="AX1070">
        <v>3.08</v>
      </c>
      <c r="AY1070">
        <v>3.2</v>
      </c>
      <c r="AZ1070" t="s">
        <v>30</v>
      </c>
      <c r="BA1070" t="s">
        <v>49</v>
      </c>
      <c r="BB1070">
        <v>19074.5</v>
      </c>
      <c r="BC1070">
        <v>19074.5</v>
      </c>
      <c r="BD1070">
        <v>19074.5</v>
      </c>
      <c r="BE1070">
        <v>19074.5</v>
      </c>
      <c r="BF1070">
        <v>13106.19</v>
      </c>
      <c r="BG1070">
        <v>5505.92</v>
      </c>
      <c r="BH1070">
        <v>1096.43</v>
      </c>
      <c r="BI1070">
        <v>2137.92</v>
      </c>
      <c r="BJ1070">
        <v>621.33000000000004</v>
      </c>
      <c r="BK1070">
        <v>1305.72</v>
      </c>
      <c r="BL1070">
        <v>6996.12</v>
      </c>
      <c r="BM1070">
        <v>1411.06</v>
      </c>
      <c r="BP1070" s="3">
        <v>45622</v>
      </c>
      <c r="BQ1070">
        <v>11087.27</v>
      </c>
      <c r="BR1070" s="3">
        <v>45642</v>
      </c>
      <c r="BS1070" t="s">
        <v>128</v>
      </c>
    </row>
    <row r="1071" spans="1:71" x14ac:dyDescent="0.25">
      <c r="A1071" t="s">
        <v>1215</v>
      </c>
      <c r="B1071" t="s">
        <v>591</v>
      </c>
      <c r="C1071" s="2">
        <f>HYPERLINK("https://szao.dolgi.msk.ru/account/3470254463/", 3470254463)</f>
        <v>3470254463</v>
      </c>
      <c r="D1071" t="s">
        <v>29</v>
      </c>
      <c r="E1071">
        <v>136704.32000000001</v>
      </c>
      <c r="AX1071">
        <v>8.9700000000000006</v>
      </c>
      <c r="AY1071">
        <v>8.73</v>
      </c>
      <c r="AZ1071" t="s">
        <v>56</v>
      </c>
      <c r="BA1071" t="s">
        <v>66</v>
      </c>
      <c r="BB1071">
        <v>136704.32000000001</v>
      </c>
      <c r="BC1071">
        <v>136704.32000000001</v>
      </c>
      <c r="BD1071">
        <v>136704.32000000001</v>
      </c>
      <c r="BE1071">
        <v>136704.32000000001</v>
      </c>
      <c r="BF1071">
        <v>121038.14</v>
      </c>
      <c r="BG1071">
        <v>20825.009999999998</v>
      </c>
      <c r="BH1071">
        <v>18035.71</v>
      </c>
      <c r="BI1071">
        <v>45508.78</v>
      </c>
      <c r="BJ1071">
        <v>12611.86</v>
      </c>
      <c r="BK1071">
        <v>23658.73</v>
      </c>
      <c r="BL1071">
        <v>13201.09</v>
      </c>
      <c r="BM1071">
        <v>2863.14</v>
      </c>
      <c r="BP1071" s="3">
        <v>45302</v>
      </c>
      <c r="BQ1071">
        <v>12423.88</v>
      </c>
      <c r="BR1071" s="3">
        <v>45642</v>
      </c>
      <c r="BS1071" t="s">
        <v>1219</v>
      </c>
    </row>
    <row r="1072" spans="1:71" x14ac:dyDescent="0.25">
      <c r="A1072" t="s">
        <v>1215</v>
      </c>
      <c r="B1072" t="s">
        <v>220</v>
      </c>
      <c r="C1072" s="2">
        <f>HYPERLINK("https://szao.dolgi.msk.ru/account/3470314833/", 3470314833)</f>
        <v>3470314833</v>
      </c>
      <c r="D1072" t="s">
        <v>29</v>
      </c>
      <c r="E1072">
        <v>46916.41</v>
      </c>
      <c r="AX1072">
        <v>5.37</v>
      </c>
      <c r="AY1072">
        <v>5.33</v>
      </c>
      <c r="AZ1072" t="s">
        <v>69</v>
      </c>
      <c r="BA1072" t="s">
        <v>49</v>
      </c>
      <c r="BB1072">
        <v>46916.41</v>
      </c>
      <c r="BC1072">
        <v>46916.41</v>
      </c>
      <c r="BD1072">
        <v>46916.41</v>
      </c>
      <c r="BE1072">
        <v>46916.41</v>
      </c>
      <c r="BF1072">
        <v>38107.620000000003</v>
      </c>
      <c r="BG1072">
        <v>5871.44</v>
      </c>
      <c r="BH1072">
        <v>5688.13</v>
      </c>
      <c r="BI1072">
        <v>16076.85</v>
      </c>
      <c r="BJ1072">
        <v>4531.51</v>
      </c>
      <c r="BK1072">
        <v>7861.32</v>
      </c>
      <c r="BL1072">
        <v>5311.38</v>
      </c>
      <c r="BM1072">
        <v>1575.78</v>
      </c>
      <c r="BP1072" s="3">
        <v>45552</v>
      </c>
      <c r="BQ1072">
        <v>5012.0600000000004</v>
      </c>
    </row>
    <row r="1073" spans="1:71" x14ac:dyDescent="0.25">
      <c r="A1073" t="s">
        <v>1215</v>
      </c>
      <c r="B1073" t="s">
        <v>220</v>
      </c>
      <c r="C1073" s="2">
        <f>HYPERLINK("https://szao.dolgi.msk.ru/account/3470610392/", 3470610392)</f>
        <v>3470610392</v>
      </c>
      <c r="D1073" t="s">
        <v>29</v>
      </c>
      <c r="E1073">
        <v>11662.06</v>
      </c>
      <c r="AX1073">
        <v>4.5</v>
      </c>
      <c r="AY1073">
        <v>4.2699999999999996</v>
      </c>
      <c r="AZ1073" t="s">
        <v>69</v>
      </c>
      <c r="BA1073" t="s">
        <v>49</v>
      </c>
      <c r="BB1073">
        <v>11662.06</v>
      </c>
      <c r="BC1073">
        <v>9292.82</v>
      </c>
      <c r="BD1073">
        <v>11662.06</v>
      </c>
      <c r="BE1073">
        <v>9292.82</v>
      </c>
      <c r="BF1073">
        <v>8928.0499999999993</v>
      </c>
      <c r="BG1073">
        <v>3497.7</v>
      </c>
      <c r="BH1073">
        <v>403.58</v>
      </c>
      <c r="BI1073">
        <v>1372.14</v>
      </c>
      <c r="BJ1073">
        <v>386.44</v>
      </c>
      <c r="BK1073">
        <v>606.51</v>
      </c>
      <c r="BL1073">
        <v>4467.84</v>
      </c>
      <c r="BM1073">
        <v>927.85</v>
      </c>
      <c r="BN1073">
        <v>386.02</v>
      </c>
      <c r="BP1073" s="3">
        <v>45673</v>
      </c>
      <c r="BQ1073">
        <v>386.02</v>
      </c>
    </row>
    <row r="1074" spans="1:71" x14ac:dyDescent="0.25">
      <c r="A1074" t="s">
        <v>1220</v>
      </c>
      <c r="B1074" t="s">
        <v>34</v>
      </c>
      <c r="C1074" s="2">
        <f>HYPERLINK("https://szao.dolgi.msk.ru/account/3470423538/", 3470423538)</f>
        <v>3470423538</v>
      </c>
      <c r="D1074" t="s">
        <v>29</v>
      </c>
      <c r="E1074">
        <v>25881.78</v>
      </c>
      <c r="AX1074">
        <v>4.09</v>
      </c>
      <c r="AY1074">
        <v>4.21</v>
      </c>
      <c r="AZ1074" t="s">
        <v>30</v>
      </c>
      <c r="BA1074" t="s">
        <v>49</v>
      </c>
      <c r="BB1074">
        <v>25881.78</v>
      </c>
      <c r="BC1074">
        <v>25881.78</v>
      </c>
      <c r="BD1074">
        <v>25881.78</v>
      </c>
      <c r="BE1074">
        <v>25881.78</v>
      </c>
      <c r="BF1074">
        <v>19738.16</v>
      </c>
      <c r="BG1074">
        <v>7687.06</v>
      </c>
      <c r="BH1074">
        <v>1315.6</v>
      </c>
      <c r="BI1074">
        <v>3822.12</v>
      </c>
      <c r="BJ1074">
        <v>1076.4000000000001</v>
      </c>
      <c r="BK1074">
        <v>1836.4</v>
      </c>
      <c r="BL1074">
        <v>8653.6</v>
      </c>
      <c r="BM1074">
        <v>1490.6</v>
      </c>
      <c r="BP1074" s="3">
        <v>45602</v>
      </c>
      <c r="BQ1074">
        <v>30784.61</v>
      </c>
      <c r="BR1074" s="3">
        <v>44510</v>
      </c>
      <c r="BS1074" t="s">
        <v>1221</v>
      </c>
    </row>
    <row r="1075" spans="1:71" x14ac:dyDescent="0.25">
      <c r="A1075" t="s">
        <v>1220</v>
      </c>
      <c r="B1075" t="s">
        <v>160</v>
      </c>
      <c r="C1075" s="2">
        <f>HYPERLINK("https://szao.dolgi.msk.ru/account/3470420572/", 3470420572)</f>
        <v>3470420572</v>
      </c>
      <c r="D1075" t="s">
        <v>29</v>
      </c>
      <c r="E1075">
        <v>20106.3</v>
      </c>
      <c r="AX1075">
        <v>2.81</v>
      </c>
      <c r="AY1075">
        <v>2.82</v>
      </c>
      <c r="AZ1075" t="s">
        <v>40</v>
      </c>
      <c r="BA1075" t="s">
        <v>31</v>
      </c>
      <c r="BB1075">
        <v>20106.3</v>
      </c>
      <c r="BC1075">
        <v>20106.3</v>
      </c>
      <c r="BD1075">
        <v>20106.3</v>
      </c>
      <c r="BE1075">
        <v>20106.3</v>
      </c>
      <c r="BF1075">
        <v>12982.12</v>
      </c>
      <c r="BG1075">
        <v>5915.09</v>
      </c>
      <c r="BH1075">
        <v>1218.67</v>
      </c>
      <c r="BI1075">
        <v>3022.65</v>
      </c>
      <c r="BJ1075">
        <v>851.25</v>
      </c>
      <c r="BK1075">
        <v>1608.69</v>
      </c>
      <c r="BL1075">
        <v>6369.78</v>
      </c>
      <c r="BM1075">
        <v>1120.17</v>
      </c>
      <c r="BN1075">
        <v>6570.39</v>
      </c>
      <c r="BP1075" s="3">
        <v>45671</v>
      </c>
      <c r="BQ1075">
        <v>6570.39</v>
      </c>
    </row>
    <row r="1076" spans="1:71" x14ac:dyDescent="0.25">
      <c r="A1076" t="s">
        <v>1220</v>
      </c>
      <c r="B1076" t="s">
        <v>385</v>
      </c>
      <c r="C1076" s="2">
        <f>HYPERLINK("https://szao.dolgi.msk.ru/account/3470423693/", 3470423693)</f>
        <v>3470423693</v>
      </c>
      <c r="D1076" t="s">
        <v>29</v>
      </c>
      <c r="E1076">
        <v>12223.57</v>
      </c>
      <c r="AX1076">
        <v>3.61</v>
      </c>
      <c r="AY1076">
        <v>3.83</v>
      </c>
      <c r="AZ1076" t="s">
        <v>30</v>
      </c>
      <c r="BA1076" t="s">
        <v>49</v>
      </c>
      <c r="BB1076">
        <v>12223.57</v>
      </c>
      <c r="BC1076">
        <v>12223.57</v>
      </c>
      <c r="BD1076">
        <v>12223.57</v>
      </c>
      <c r="BE1076">
        <v>12223.57</v>
      </c>
      <c r="BF1076">
        <v>9029.69</v>
      </c>
      <c r="BG1076">
        <v>4173.8599999999997</v>
      </c>
      <c r="BH1076">
        <v>521.19000000000005</v>
      </c>
      <c r="BI1076">
        <v>1140.8499999999999</v>
      </c>
      <c r="BJ1076">
        <v>321.29000000000002</v>
      </c>
      <c r="BK1076">
        <v>646.79999999999995</v>
      </c>
      <c r="BL1076">
        <v>4623.21</v>
      </c>
      <c r="BM1076">
        <v>796.37</v>
      </c>
      <c r="BP1076" s="3">
        <v>45635</v>
      </c>
      <c r="BQ1076">
        <v>8828.0499999999993</v>
      </c>
    </row>
    <row r="1077" spans="1:71" x14ac:dyDescent="0.25">
      <c r="A1077" t="s">
        <v>1220</v>
      </c>
      <c r="B1077" t="s">
        <v>287</v>
      </c>
      <c r="C1077" s="2">
        <f>HYPERLINK("https://szao.dolgi.msk.ru/account/3470423757/", 3470423757)</f>
        <v>3470423757</v>
      </c>
      <c r="D1077" t="s">
        <v>29</v>
      </c>
      <c r="E1077">
        <v>9599.07</v>
      </c>
      <c r="AX1077">
        <v>2.78</v>
      </c>
      <c r="AY1077">
        <v>2.79</v>
      </c>
      <c r="AZ1077" t="s">
        <v>69</v>
      </c>
      <c r="BA1077" t="s">
        <v>31</v>
      </c>
      <c r="BB1077">
        <v>9599.07</v>
      </c>
      <c r="BC1077">
        <v>9599.07</v>
      </c>
      <c r="BD1077">
        <v>9599.07</v>
      </c>
      <c r="BE1077">
        <v>9599.07</v>
      </c>
      <c r="BF1077">
        <v>6154.94</v>
      </c>
      <c r="BG1077">
        <v>3916.28</v>
      </c>
      <c r="BH1077">
        <v>89.7</v>
      </c>
      <c r="BI1077">
        <v>318.52</v>
      </c>
      <c r="BJ1077">
        <v>89.7</v>
      </c>
      <c r="BK1077">
        <v>137.72999999999999</v>
      </c>
      <c r="BL1077">
        <v>4305.51</v>
      </c>
      <c r="BM1077">
        <v>741.63</v>
      </c>
      <c r="BP1077" s="3">
        <v>45588</v>
      </c>
      <c r="BQ1077">
        <v>3289.35</v>
      </c>
    </row>
    <row r="1078" spans="1:71" x14ac:dyDescent="0.25">
      <c r="A1078" t="s">
        <v>1220</v>
      </c>
      <c r="B1078" t="s">
        <v>223</v>
      </c>
      <c r="C1078" s="2">
        <f>HYPERLINK("https://szao.dolgi.msk.ru/account/3470423773/", 3470423773)</f>
        <v>3470423773</v>
      </c>
      <c r="D1078" t="s">
        <v>29</v>
      </c>
      <c r="E1078">
        <v>95805.28</v>
      </c>
      <c r="AX1078">
        <v>10.76</v>
      </c>
      <c r="AY1078">
        <v>10.81</v>
      </c>
      <c r="AZ1078" t="s">
        <v>56</v>
      </c>
      <c r="BA1078" t="s">
        <v>63</v>
      </c>
      <c r="BB1078">
        <v>95805.28</v>
      </c>
      <c r="BC1078">
        <v>95805.28</v>
      </c>
      <c r="BD1078">
        <v>95805.28</v>
      </c>
      <c r="BE1078">
        <v>95805.28</v>
      </c>
      <c r="BF1078">
        <v>86938.66</v>
      </c>
      <c r="BG1078">
        <v>14416.88</v>
      </c>
      <c r="BH1078">
        <v>11313.11</v>
      </c>
      <c r="BI1078">
        <v>28264.31</v>
      </c>
      <c r="BJ1078">
        <v>7740.52</v>
      </c>
      <c r="BK1078">
        <v>14774.53</v>
      </c>
      <c r="BL1078">
        <v>16367.61</v>
      </c>
      <c r="BM1078">
        <v>2928.32</v>
      </c>
      <c r="BP1078" s="3">
        <v>45490</v>
      </c>
      <c r="BQ1078">
        <v>1789.7</v>
      </c>
      <c r="BR1078" s="3">
        <v>45616</v>
      </c>
      <c r="BS1078" t="s">
        <v>1222</v>
      </c>
    </row>
    <row r="1079" spans="1:71" x14ac:dyDescent="0.25">
      <c r="A1079" t="s">
        <v>1220</v>
      </c>
      <c r="B1079" t="s">
        <v>247</v>
      </c>
      <c r="C1079" s="2">
        <f>HYPERLINK("https://szao.dolgi.msk.ru/account/3470423984/", 3470423984)</f>
        <v>3470423984</v>
      </c>
      <c r="D1079" t="s">
        <v>29</v>
      </c>
      <c r="E1079">
        <v>15261.45</v>
      </c>
      <c r="AX1079">
        <v>4.54</v>
      </c>
      <c r="AY1079">
        <v>4.55</v>
      </c>
      <c r="AZ1079" t="s">
        <v>40</v>
      </c>
      <c r="BA1079" t="s">
        <v>49</v>
      </c>
      <c r="BB1079">
        <v>15261.45</v>
      </c>
      <c r="BC1079">
        <v>15261.45</v>
      </c>
      <c r="BD1079">
        <v>15261.45</v>
      </c>
      <c r="BE1079">
        <v>15261.45</v>
      </c>
      <c r="BF1079">
        <v>11904.52</v>
      </c>
      <c r="BG1079">
        <v>6525.05</v>
      </c>
      <c r="BH1079">
        <v>0</v>
      </c>
      <c r="BI1079">
        <v>0</v>
      </c>
      <c r="BJ1079">
        <v>0</v>
      </c>
      <c r="BK1079">
        <v>0</v>
      </c>
      <c r="BL1079">
        <v>7452.65</v>
      </c>
      <c r="BM1079">
        <v>1283.75</v>
      </c>
      <c r="BP1079" s="3">
        <v>45645</v>
      </c>
      <c r="BQ1079">
        <v>3399.89</v>
      </c>
      <c r="BR1079" s="3">
        <v>45503</v>
      </c>
      <c r="BS1079" t="s">
        <v>1223</v>
      </c>
    </row>
    <row r="1080" spans="1:71" x14ac:dyDescent="0.25">
      <c r="A1080" t="s">
        <v>1224</v>
      </c>
      <c r="B1080" t="s">
        <v>173</v>
      </c>
      <c r="C1080" s="2">
        <f>HYPERLINK("https://szao.dolgi.msk.ru/account/3470254674/", 3470254674)</f>
        <v>3470254674</v>
      </c>
      <c r="D1080" t="s">
        <v>29</v>
      </c>
      <c r="E1080">
        <v>255245.53</v>
      </c>
      <c r="AX1080">
        <v>18.96</v>
      </c>
      <c r="AY1080">
        <v>16.829999999999998</v>
      </c>
      <c r="AZ1080" t="s">
        <v>45</v>
      </c>
      <c r="BA1080" t="s">
        <v>36</v>
      </c>
      <c r="BB1080">
        <v>255245.53</v>
      </c>
      <c r="BC1080">
        <v>255245.53</v>
      </c>
      <c r="BD1080">
        <v>255245.53</v>
      </c>
      <c r="BE1080">
        <v>255245.53</v>
      </c>
      <c r="BF1080">
        <v>240077.86</v>
      </c>
      <c r="BG1080">
        <v>37358.46</v>
      </c>
      <c r="BH1080">
        <v>80849.59</v>
      </c>
      <c r="BI1080">
        <v>0</v>
      </c>
      <c r="BJ1080">
        <v>0</v>
      </c>
      <c r="BK1080">
        <v>48401.31</v>
      </c>
      <c r="BL1080">
        <v>75549.95</v>
      </c>
      <c r="BM1080">
        <v>13086.22</v>
      </c>
      <c r="BN1080">
        <v>0</v>
      </c>
      <c r="BP1080" s="3">
        <v>45692</v>
      </c>
      <c r="BQ1080">
        <v>0</v>
      </c>
      <c r="BR1080" s="3">
        <v>45362</v>
      </c>
      <c r="BS1080" t="s">
        <v>1225</v>
      </c>
    </row>
    <row r="1081" spans="1:71" x14ac:dyDescent="0.25">
      <c r="A1081" t="s">
        <v>1226</v>
      </c>
      <c r="B1081" t="s">
        <v>311</v>
      </c>
      <c r="C1081" s="2">
        <f>HYPERLINK("https://szao.dolgi.msk.ru/account/3470255669/", 3470255669)</f>
        <v>3470255669</v>
      </c>
      <c r="D1081" t="s">
        <v>29</v>
      </c>
      <c r="E1081">
        <v>24438.87</v>
      </c>
      <c r="AX1081">
        <v>2.08</v>
      </c>
      <c r="AY1081">
        <v>2.13</v>
      </c>
      <c r="AZ1081" t="s">
        <v>40</v>
      </c>
      <c r="BA1081" t="s">
        <v>31</v>
      </c>
      <c r="BB1081">
        <v>24438.87</v>
      </c>
      <c r="BC1081">
        <v>24438.87</v>
      </c>
      <c r="BD1081">
        <v>24438.87</v>
      </c>
      <c r="BE1081">
        <v>24438.87</v>
      </c>
      <c r="BF1081">
        <v>12942.76</v>
      </c>
      <c r="BG1081">
        <v>6212.26</v>
      </c>
      <c r="BH1081">
        <v>401.14</v>
      </c>
      <c r="BI1081">
        <v>6759.49</v>
      </c>
      <c r="BJ1081">
        <v>1903.63</v>
      </c>
      <c r="BK1081">
        <v>2540.35</v>
      </c>
      <c r="BL1081">
        <v>5498.16</v>
      </c>
      <c r="BM1081">
        <v>1123.8399999999999</v>
      </c>
      <c r="BP1081" s="3">
        <v>45650</v>
      </c>
      <c r="BQ1081">
        <v>8645.86</v>
      </c>
      <c r="BR1081" s="3">
        <v>45323</v>
      </c>
      <c r="BS1081" t="s">
        <v>1227</v>
      </c>
    </row>
    <row r="1082" spans="1:71" x14ac:dyDescent="0.25">
      <c r="A1082" t="s">
        <v>1226</v>
      </c>
      <c r="B1082" t="s">
        <v>197</v>
      </c>
      <c r="C1082" s="2">
        <f>HYPERLINK("https://szao.dolgi.msk.ru/account/3470410593/", 3470410593)</f>
        <v>3470410593</v>
      </c>
      <c r="D1082" t="s">
        <v>29</v>
      </c>
      <c r="E1082">
        <v>46303.45</v>
      </c>
      <c r="AX1082">
        <v>8.18</v>
      </c>
      <c r="AY1082">
        <v>8.33</v>
      </c>
      <c r="AZ1082" t="s">
        <v>40</v>
      </c>
      <c r="BA1082" t="s">
        <v>66</v>
      </c>
      <c r="BB1082">
        <v>46303.45</v>
      </c>
      <c r="BC1082">
        <v>46303.45</v>
      </c>
      <c r="BD1082">
        <v>46303.45</v>
      </c>
      <c r="BE1082">
        <v>46303.45</v>
      </c>
      <c r="BF1082">
        <v>40735.56</v>
      </c>
      <c r="BG1082">
        <v>10275.81</v>
      </c>
      <c r="BH1082">
        <v>4421.93</v>
      </c>
      <c r="BI1082">
        <v>13384.78</v>
      </c>
      <c r="BJ1082">
        <v>3504.33</v>
      </c>
      <c r="BK1082">
        <v>5984.9</v>
      </c>
      <c r="BL1082">
        <v>7393.82</v>
      </c>
      <c r="BM1082">
        <v>1337.88</v>
      </c>
      <c r="BN1082">
        <v>4922.66</v>
      </c>
      <c r="BP1082" s="3">
        <v>45671</v>
      </c>
      <c r="BQ1082">
        <v>4922.66</v>
      </c>
      <c r="BR1082" s="3">
        <v>45441</v>
      </c>
      <c r="BS1082" t="s">
        <v>1228</v>
      </c>
    </row>
    <row r="1083" spans="1:71" x14ac:dyDescent="0.25">
      <c r="A1083" t="s">
        <v>1226</v>
      </c>
      <c r="B1083" t="s">
        <v>476</v>
      </c>
      <c r="C1083" s="2">
        <f>HYPERLINK("https://szao.dolgi.msk.ru/account/3470256581/", 3470256581)</f>
        <v>3470256581</v>
      </c>
      <c r="D1083" t="s">
        <v>29</v>
      </c>
      <c r="E1083">
        <v>25352.33</v>
      </c>
      <c r="AX1083">
        <v>2.0699999999999998</v>
      </c>
      <c r="AY1083">
        <v>2.1</v>
      </c>
      <c r="AZ1083" t="s">
        <v>40</v>
      </c>
      <c r="BA1083" t="s">
        <v>31</v>
      </c>
      <c r="BB1083">
        <v>25352.33</v>
      </c>
      <c r="BC1083">
        <v>25352.33</v>
      </c>
      <c r="BD1083">
        <v>25352.33</v>
      </c>
      <c r="BE1083">
        <v>25352.33</v>
      </c>
      <c r="BF1083">
        <v>13382.46</v>
      </c>
      <c r="BG1083">
        <v>4849.78</v>
      </c>
      <c r="BH1083">
        <v>4607.4799999999996</v>
      </c>
      <c r="BI1083">
        <v>5885.24</v>
      </c>
      <c r="BJ1083">
        <v>1657.41</v>
      </c>
      <c r="BK1083">
        <v>3182.76</v>
      </c>
      <c r="BL1083">
        <v>4292.3</v>
      </c>
      <c r="BM1083">
        <v>877.36</v>
      </c>
      <c r="BN1083">
        <v>12874.69</v>
      </c>
      <c r="BP1083" s="3">
        <v>45685</v>
      </c>
      <c r="BQ1083">
        <v>12874.69</v>
      </c>
    </row>
    <row r="1084" spans="1:71" x14ac:dyDescent="0.25">
      <c r="A1084" t="s">
        <v>1229</v>
      </c>
      <c r="B1084" t="s">
        <v>28</v>
      </c>
      <c r="C1084" s="2">
        <f>HYPERLINK("https://szao.dolgi.msk.ru/account/3470317399/", 3470317399)</f>
        <v>3470317399</v>
      </c>
      <c r="D1084" t="s">
        <v>29</v>
      </c>
      <c r="E1084">
        <v>291777.44</v>
      </c>
      <c r="AX1084">
        <v>42.42</v>
      </c>
      <c r="AY1084">
        <v>36.479999999999997</v>
      </c>
      <c r="AZ1084" t="s">
        <v>45</v>
      </c>
      <c r="BA1084" t="s">
        <v>36</v>
      </c>
      <c r="BB1084">
        <v>291777.44</v>
      </c>
      <c r="BC1084">
        <v>291777.44</v>
      </c>
      <c r="BD1084">
        <v>291777.44</v>
      </c>
      <c r="BE1084">
        <v>291777.44</v>
      </c>
      <c r="BF1084">
        <v>283778.58</v>
      </c>
      <c r="BG1084">
        <v>53329.95</v>
      </c>
      <c r="BH1084">
        <v>91248.78</v>
      </c>
      <c r="BI1084">
        <v>0</v>
      </c>
      <c r="BJ1084">
        <v>0</v>
      </c>
      <c r="BK1084">
        <v>68754.3</v>
      </c>
      <c r="BL1084">
        <v>66219.81</v>
      </c>
      <c r="BM1084">
        <v>12224.6</v>
      </c>
      <c r="BP1084" s="3">
        <v>45443</v>
      </c>
      <c r="BQ1084">
        <v>0</v>
      </c>
      <c r="BR1084" s="3">
        <v>45631</v>
      </c>
      <c r="BS1084" t="s">
        <v>1230</v>
      </c>
    </row>
    <row r="1085" spans="1:71" x14ac:dyDescent="0.25">
      <c r="A1085" t="s">
        <v>1229</v>
      </c>
      <c r="B1085" t="s">
        <v>28</v>
      </c>
      <c r="C1085" s="2">
        <f>HYPERLINK("https://szao.dolgi.msk.ru/account/3470466503/", 3470466503)</f>
        <v>3470466503</v>
      </c>
      <c r="D1085" t="s">
        <v>29</v>
      </c>
      <c r="E1085">
        <v>48370.92</v>
      </c>
      <c r="AX1085">
        <v>44.08</v>
      </c>
      <c r="AY1085">
        <v>34.35</v>
      </c>
      <c r="AZ1085" t="s">
        <v>56</v>
      </c>
      <c r="BA1085" t="s">
        <v>36</v>
      </c>
      <c r="BB1085">
        <v>48370.92</v>
      </c>
      <c r="BC1085">
        <v>48370.92</v>
      </c>
      <c r="BD1085">
        <v>48370.92</v>
      </c>
      <c r="BE1085">
        <v>48370.92</v>
      </c>
      <c r="BF1085">
        <v>46962.6</v>
      </c>
      <c r="BG1085">
        <v>19049.57</v>
      </c>
      <c r="BH1085">
        <v>0</v>
      </c>
      <c r="BI1085">
        <v>0</v>
      </c>
      <c r="BJ1085">
        <v>0</v>
      </c>
      <c r="BK1085">
        <v>0</v>
      </c>
      <c r="BL1085">
        <v>24763</v>
      </c>
      <c r="BM1085">
        <v>4558.3500000000004</v>
      </c>
      <c r="BP1085" s="3">
        <v>44308</v>
      </c>
      <c r="BQ1085">
        <v>37993.620000000003</v>
      </c>
      <c r="BR1085" s="3">
        <v>44942</v>
      </c>
      <c r="BS1085" t="s">
        <v>1231</v>
      </c>
    </row>
    <row r="1086" spans="1:71" x14ac:dyDescent="0.25">
      <c r="A1086" t="s">
        <v>1229</v>
      </c>
      <c r="B1086" t="s">
        <v>413</v>
      </c>
      <c r="C1086" s="2">
        <f>HYPERLINK("https://szao.dolgi.msk.ru/account/3470262383/", 3470262383)</f>
        <v>3470262383</v>
      </c>
      <c r="D1086" t="s">
        <v>29</v>
      </c>
      <c r="E1086">
        <v>22972.83</v>
      </c>
      <c r="AX1086">
        <v>3.67</v>
      </c>
      <c r="AY1086">
        <v>3.51</v>
      </c>
      <c r="AZ1086" t="s">
        <v>40</v>
      </c>
      <c r="BA1086" t="s">
        <v>49</v>
      </c>
      <c r="BB1086">
        <v>22972.83</v>
      </c>
      <c r="BC1086">
        <v>22972.83</v>
      </c>
      <c r="BD1086">
        <v>22972.83</v>
      </c>
      <c r="BE1086">
        <v>22972.83</v>
      </c>
      <c r="BF1086">
        <v>21342.79</v>
      </c>
      <c r="BG1086">
        <v>8342.5499999999993</v>
      </c>
      <c r="BH1086">
        <v>2192.27</v>
      </c>
      <c r="BI1086">
        <v>0</v>
      </c>
      <c r="BJ1086">
        <v>0</v>
      </c>
      <c r="BK1086">
        <v>1712.25</v>
      </c>
      <c r="BL1086">
        <v>8526.2999999999993</v>
      </c>
      <c r="BM1086">
        <v>2199.46</v>
      </c>
      <c r="BN1086">
        <v>14165.73</v>
      </c>
      <c r="BO1086">
        <v>1819.03</v>
      </c>
      <c r="BP1086" s="3">
        <v>45691</v>
      </c>
      <c r="BQ1086">
        <v>4908.8</v>
      </c>
      <c r="BR1086" s="3">
        <v>45510</v>
      </c>
      <c r="BS1086" t="s">
        <v>1232</v>
      </c>
    </row>
    <row r="1087" spans="1:71" x14ac:dyDescent="0.25">
      <c r="A1087" t="s">
        <v>1233</v>
      </c>
      <c r="B1087" t="s">
        <v>147</v>
      </c>
      <c r="C1087" s="2">
        <f>HYPERLINK("https://szao.dolgi.msk.ru/account/3470263319/", 3470263319)</f>
        <v>3470263319</v>
      </c>
      <c r="D1087" t="s">
        <v>29</v>
      </c>
      <c r="E1087">
        <v>17894.82</v>
      </c>
      <c r="AX1087">
        <v>10.69</v>
      </c>
      <c r="AY1087">
        <v>5.77</v>
      </c>
      <c r="AZ1087" t="s">
        <v>30</v>
      </c>
      <c r="BA1087" t="s">
        <v>63</v>
      </c>
      <c r="BB1087">
        <v>17894.82</v>
      </c>
      <c r="BC1087">
        <v>17894.82</v>
      </c>
      <c r="BD1087">
        <v>17894.82</v>
      </c>
      <c r="BE1087">
        <v>17894.82</v>
      </c>
      <c r="BF1087">
        <v>57750.89</v>
      </c>
      <c r="BG1087">
        <v>8424.7099999999991</v>
      </c>
      <c r="BH1087">
        <v>1758.73</v>
      </c>
      <c r="BI1087">
        <v>0</v>
      </c>
      <c r="BJ1087">
        <v>0</v>
      </c>
      <c r="BK1087">
        <v>1372.62</v>
      </c>
      <c r="BL1087">
        <v>3881.56</v>
      </c>
      <c r="BM1087">
        <v>2457.1999999999998</v>
      </c>
      <c r="BN1087">
        <v>39800</v>
      </c>
      <c r="BO1087">
        <v>3099.85</v>
      </c>
      <c r="BP1087" s="3">
        <v>45698</v>
      </c>
      <c r="BQ1087">
        <v>3099.85</v>
      </c>
      <c r="BR1087" s="3">
        <v>45699</v>
      </c>
      <c r="BS1087" t="s">
        <v>1234</v>
      </c>
    </row>
    <row r="1088" spans="1:71" x14ac:dyDescent="0.25">
      <c r="A1088" t="s">
        <v>1233</v>
      </c>
      <c r="B1088" t="s">
        <v>552</v>
      </c>
      <c r="C1088" s="2">
        <f>HYPERLINK("https://szao.dolgi.msk.ru/account/3470263239/", 3470263239)</f>
        <v>3470263239</v>
      </c>
      <c r="D1088" t="s">
        <v>29</v>
      </c>
      <c r="E1088">
        <v>18672</v>
      </c>
      <c r="AX1088">
        <v>2.77</v>
      </c>
      <c r="AY1088">
        <v>2.75</v>
      </c>
      <c r="AZ1088" t="s">
        <v>30</v>
      </c>
      <c r="BA1088" t="s">
        <v>31</v>
      </c>
      <c r="BB1088">
        <v>18672</v>
      </c>
      <c r="BC1088">
        <v>18672</v>
      </c>
      <c r="BD1088">
        <v>18672</v>
      </c>
      <c r="BE1088">
        <v>18672</v>
      </c>
      <c r="BF1088">
        <v>11886.23</v>
      </c>
      <c r="BG1088">
        <v>6245.07</v>
      </c>
      <c r="BH1088">
        <v>2034.65</v>
      </c>
      <c r="BI1088">
        <v>0</v>
      </c>
      <c r="BJ1088">
        <v>0</v>
      </c>
      <c r="BK1088">
        <v>1562.05</v>
      </c>
      <c r="BL1088">
        <v>7382.16</v>
      </c>
      <c r="BM1088">
        <v>1448.07</v>
      </c>
      <c r="BP1088" s="3">
        <v>45608</v>
      </c>
      <c r="BQ1088">
        <v>12672.18</v>
      </c>
    </row>
    <row r="1089" spans="1:71" x14ac:dyDescent="0.25">
      <c r="A1089" t="s">
        <v>1235</v>
      </c>
      <c r="B1089" t="s">
        <v>106</v>
      </c>
      <c r="C1089" s="2">
        <f>HYPERLINK("https://szao.dolgi.msk.ru/account/3470270156/", 3470270156)</f>
        <v>3470270156</v>
      </c>
      <c r="D1089" t="s">
        <v>29</v>
      </c>
      <c r="E1089">
        <v>14141.17</v>
      </c>
      <c r="AX1089">
        <v>7.06</v>
      </c>
      <c r="AY1089">
        <v>3.47</v>
      </c>
      <c r="AZ1089" t="s">
        <v>45</v>
      </c>
      <c r="BA1089" t="s">
        <v>66</v>
      </c>
      <c r="BB1089">
        <v>14141.17</v>
      </c>
      <c r="BC1089">
        <v>14141.17</v>
      </c>
      <c r="BD1089">
        <v>16469.05</v>
      </c>
      <c r="BE1089">
        <v>16469.05</v>
      </c>
      <c r="BF1089">
        <v>10067.67</v>
      </c>
      <c r="BG1089">
        <v>2889.15</v>
      </c>
      <c r="BH1089">
        <v>896.42</v>
      </c>
      <c r="BI1089">
        <v>7508.92</v>
      </c>
      <c r="BJ1089">
        <v>2107.0500000000002</v>
      </c>
      <c r="BK1089">
        <v>-2327.88</v>
      </c>
      <c r="BL1089">
        <v>2738.64</v>
      </c>
      <c r="BM1089">
        <v>328.87</v>
      </c>
      <c r="BP1089" s="3">
        <v>45504</v>
      </c>
      <c r="BQ1089">
        <v>1179.82</v>
      </c>
      <c r="BR1089" s="3">
        <v>45355</v>
      </c>
      <c r="BS1089" t="s">
        <v>1236</v>
      </c>
    </row>
    <row r="1090" spans="1:71" x14ac:dyDescent="0.25">
      <c r="A1090" t="s">
        <v>1235</v>
      </c>
      <c r="B1090" t="s">
        <v>552</v>
      </c>
      <c r="C1090" s="2">
        <f>HYPERLINK("https://szao.dolgi.msk.ru/account/3470270201/", 3470270201)</f>
        <v>3470270201</v>
      </c>
      <c r="D1090" t="s">
        <v>29</v>
      </c>
      <c r="E1090">
        <v>648927.56999999995</v>
      </c>
      <c r="AX1090">
        <v>25.38</v>
      </c>
      <c r="AY1090">
        <v>23.64</v>
      </c>
      <c r="AZ1090" t="s">
        <v>40</v>
      </c>
      <c r="BA1090" t="s">
        <v>36</v>
      </c>
      <c r="BB1090">
        <v>648927.56999999995</v>
      </c>
      <c r="BC1090">
        <v>648927.56999999995</v>
      </c>
      <c r="BD1090">
        <v>648927.56999999995</v>
      </c>
      <c r="BE1090">
        <v>648927.56999999995</v>
      </c>
      <c r="BF1090">
        <v>621530.86</v>
      </c>
      <c r="BG1090">
        <v>16612.87</v>
      </c>
      <c r="BH1090">
        <v>91240.960000000006</v>
      </c>
      <c r="BI1090">
        <v>306201.78999999998</v>
      </c>
      <c r="BJ1090">
        <v>73792.61</v>
      </c>
      <c r="BK1090">
        <v>133909.1</v>
      </c>
      <c r="BL1090">
        <v>24571.96</v>
      </c>
      <c r="BM1090">
        <v>2598.2800000000002</v>
      </c>
      <c r="BN1090">
        <v>52.42</v>
      </c>
      <c r="BO1090">
        <v>10806.09</v>
      </c>
      <c r="BP1090" s="3">
        <v>45693</v>
      </c>
      <c r="BQ1090">
        <v>52.42</v>
      </c>
      <c r="BR1090" s="3">
        <v>45692</v>
      </c>
      <c r="BS1090" t="s">
        <v>128</v>
      </c>
    </row>
    <row r="1091" spans="1:71" x14ac:dyDescent="0.25">
      <c r="A1091" t="s">
        <v>1235</v>
      </c>
      <c r="B1091" t="s">
        <v>1237</v>
      </c>
      <c r="C1091" s="2">
        <f>HYPERLINK("https://szao.dolgi.msk.ru/account/3470268064/", 3470268064)</f>
        <v>3470268064</v>
      </c>
      <c r="D1091" t="s">
        <v>29</v>
      </c>
      <c r="E1091">
        <v>4062.31</v>
      </c>
      <c r="AX1091">
        <v>17.95</v>
      </c>
      <c r="AY1091">
        <v>2.2999999999999998</v>
      </c>
      <c r="AZ1091" t="s">
        <v>45</v>
      </c>
      <c r="BA1091" t="s">
        <v>36</v>
      </c>
      <c r="BB1091">
        <v>4062.31</v>
      </c>
      <c r="BC1091">
        <v>4062.31</v>
      </c>
      <c r="BD1091">
        <v>11145.95</v>
      </c>
      <c r="BE1091">
        <v>11145.95</v>
      </c>
      <c r="BF1091">
        <v>3499.78</v>
      </c>
      <c r="BG1091">
        <v>2360.1999999999998</v>
      </c>
      <c r="BH1091">
        <v>-4089.73</v>
      </c>
      <c r="BI1091">
        <v>448</v>
      </c>
      <c r="BJ1091">
        <v>479.97</v>
      </c>
      <c r="BK1091">
        <v>-2993.91</v>
      </c>
      <c r="BL1091">
        <v>1713.36</v>
      </c>
      <c r="BM1091">
        <v>6144.42</v>
      </c>
      <c r="BN1091">
        <v>1204.08</v>
      </c>
      <c r="BP1091" s="3">
        <v>45693</v>
      </c>
      <c r="BQ1091">
        <v>1204.08</v>
      </c>
      <c r="BR1091" s="3">
        <v>45593</v>
      </c>
      <c r="BS1091" t="s">
        <v>1238</v>
      </c>
    </row>
    <row r="1092" spans="1:71" x14ac:dyDescent="0.25">
      <c r="A1092" t="s">
        <v>1235</v>
      </c>
      <c r="B1092" t="s">
        <v>1239</v>
      </c>
      <c r="C1092" s="2">
        <f>HYPERLINK("https://szao.dolgi.msk.ru/account/3470268187/", 3470268187)</f>
        <v>3470268187</v>
      </c>
      <c r="D1092" t="s">
        <v>29</v>
      </c>
      <c r="E1092">
        <v>89114.31</v>
      </c>
      <c r="AX1092">
        <v>35.93</v>
      </c>
      <c r="AY1092">
        <v>28.13</v>
      </c>
      <c r="AZ1092" t="s">
        <v>56</v>
      </c>
      <c r="BA1092" t="s">
        <v>36</v>
      </c>
      <c r="BB1092">
        <v>89114.31</v>
      </c>
      <c r="BC1092">
        <v>89114.31</v>
      </c>
      <c r="BD1092">
        <v>107020.24</v>
      </c>
      <c r="BE1092">
        <v>107020.24</v>
      </c>
      <c r="BF1092">
        <v>85946.49</v>
      </c>
      <c r="BG1092">
        <v>57630.41</v>
      </c>
      <c r="BH1092">
        <v>-12387.39</v>
      </c>
      <c r="BI1092">
        <v>-3340.54</v>
      </c>
      <c r="BJ1092">
        <v>0</v>
      </c>
      <c r="BK1092">
        <v>-2178</v>
      </c>
      <c r="BL1092">
        <v>39050.050000000003</v>
      </c>
      <c r="BM1092">
        <v>10339.780000000001</v>
      </c>
      <c r="BP1092" s="3">
        <v>44884</v>
      </c>
      <c r="BQ1092">
        <v>516</v>
      </c>
      <c r="BR1092" s="3">
        <v>45049</v>
      </c>
      <c r="BS1092" t="s">
        <v>1240</v>
      </c>
    </row>
    <row r="1093" spans="1:71" x14ac:dyDescent="0.25">
      <c r="A1093" t="s">
        <v>1235</v>
      </c>
      <c r="B1093" t="s">
        <v>1241</v>
      </c>
      <c r="C1093" s="2">
        <f>HYPERLINK("https://szao.dolgi.msk.ru/account/3470430869/", 3470430869)</f>
        <v>3470430869</v>
      </c>
      <c r="D1093" t="s">
        <v>29</v>
      </c>
      <c r="E1093">
        <v>70801.39</v>
      </c>
      <c r="AX1093">
        <v>9.06</v>
      </c>
      <c r="AY1093">
        <v>8.48</v>
      </c>
      <c r="AZ1093" t="s">
        <v>40</v>
      </c>
      <c r="BA1093" t="s">
        <v>63</v>
      </c>
      <c r="BB1093">
        <v>70801.39</v>
      </c>
      <c r="BC1093">
        <v>70801.39</v>
      </c>
      <c r="BD1093">
        <v>70801.39</v>
      </c>
      <c r="BE1093">
        <v>70801.39</v>
      </c>
      <c r="BF1093">
        <v>62455.11</v>
      </c>
      <c r="BG1093">
        <v>29130.5</v>
      </c>
      <c r="BH1093">
        <v>2081.69</v>
      </c>
      <c r="BI1093">
        <v>5122.2</v>
      </c>
      <c r="BJ1093">
        <v>1424.32</v>
      </c>
      <c r="BK1093">
        <v>2703.83</v>
      </c>
      <c r="BL1093">
        <v>23756.05</v>
      </c>
      <c r="BM1093">
        <v>6582.8</v>
      </c>
      <c r="BN1093">
        <v>7543.34</v>
      </c>
      <c r="BP1093" s="3">
        <v>45670</v>
      </c>
      <c r="BQ1093">
        <v>7543.34</v>
      </c>
      <c r="BR1093" s="3">
        <v>45695</v>
      </c>
      <c r="BS1093" t="s">
        <v>1242</v>
      </c>
    </row>
    <row r="1094" spans="1:71" x14ac:dyDescent="0.25">
      <c r="A1094" t="s">
        <v>1235</v>
      </c>
      <c r="B1094" t="s">
        <v>959</v>
      </c>
      <c r="C1094" s="2">
        <f>HYPERLINK("https://szao.dolgi.msk.ru/account/3470268638/", 3470268638)</f>
        <v>3470268638</v>
      </c>
      <c r="D1094" t="s">
        <v>29</v>
      </c>
      <c r="E1094">
        <v>10208.700000000001</v>
      </c>
      <c r="AX1094">
        <v>2.5499999999999998</v>
      </c>
      <c r="AY1094">
        <v>2.46</v>
      </c>
      <c r="AZ1094" t="s">
        <v>30</v>
      </c>
      <c r="BA1094" t="s">
        <v>31</v>
      </c>
      <c r="BB1094">
        <v>10208.700000000001</v>
      </c>
      <c r="BC1094">
        <v>10208.700000000001</v>
      </c>
      <c r="BD1094">
        <v>11341.22</v>
      </c>
      <c r="BE1094">
        <v>11341.22</v>
      </c>
      <c r="BF1094">
        <v>6064.9</v>
      </c>
      <c r="BG1094">
        <v>5822.12</v>
      </c>
      <c r="BH1094">
        <v>0</v>
      </c>
      <c r="BI1094">
        <v>-768.92</v>
      </c>
      <c r="BJ1094">
        <v>-203.72</v>
      </c>
      <c r="BK1094">
        <v>-159.88</v>
      </c>
      <c r="BL1094">
        <v>4416.54</v>
      </c>
      <c r="BM1094">
        <v>1102.56</v>
      </c>
      <c r="BP1094" s="3">
        <v>45623</v>
      </c>
      <c r="BQ1094">
        <v>3598.71</v>
      </c>
      <c r="BR1094" s="3">
        <v>45314</v>
      </c>
      <c r="BS1094" t="s">
        <v>1243</v>
      </c>
    </row>
    <row r="1095" spans="1:71" x14ac:dyDescent="0.25">
      <c r="A1095" t="s">
        <v>1235</v>
      </c>
      <c r="B1095" t="s">
        <v>1244</v>
      </c>
      <c r="C1095" s="2">
        <f>HYPERLINK("https://szao.dolgi.msk.ru/account/3470270084/", 3470270084)</f>
        <v>3470270084</v>
      </c>
      <c r="D1095" t="s">
        <v>29</v>
      </c>
      <c r="E1095">
        <v>12510.76</v>
      </c>
      <c r="AX1095">
        <v>2.63</v>
      </c>
      <c r="AY1095">
        <v>2.62</v>
      </c>
      <c r="AZ1095" t="s">
        <v>40</v>
      </c>
      <c r="BA1095" t="s">
        <v>31</v>
      </c>
      <c r="BB1095">
        <v>12510.76</v>
      </c>
      <c r="BC1095">
        <v>12510.76</v>
      </c>
      <c r="BD1095">
        <v>12510.76</v>
      </c>
      <c r="BE1095">
        <v>12510.76</v>
      </c>
      <c r="BF1095">
        <v>7737.04</v>
      </c>
      <c r="BG1095">
        <v>5903.47</v>
      </c>
      <c r="BH1095">
        <v>205.12</v>
      </c>
      <c r="BI1095">
        <v>424.68</v>
      </c>
      <c r="BJ1095">
        <v>119.6</v>
      </c>
      <c r="BK1095">
        <v>261.69</v>
      </c>
      <c r="BL1095">
        <v>4478.25</v>
      </c>
      <c r="BM1095">
        <v>1117.95</v>
      </c>
      <c r="BP1095" s="3">
        <v>45645</v>
      </c>
      <c r="BQ1095">
        <v>3739.56</v>
      </c>
    </row>
    <row r="1096" spans="1:71" x14ac:dyDescent="0.25">
      <c r="A1096" t="s">
        <v>1245</v>
      </c>
      <c r="B1096" t="s">
        <v>100</v>
      </c>
      <c r="C1096" s="2">
        <f>HYPERLINK("https://szao.dolgi.msk.ru/account/3470266085/", 3470266085)</f>
        <v>3470266085</v>
      </c>
      <c r="D1096" t="s">
        <v>29</v>
      </c>
      <c r="E1096">
        <v>13069.82</v>
      </c>
      <c r="AX1096">
        <v>2.64</v>
      </c>
      <c r="AY1096">
        <v>2.14</v>
      </c>
      <c r="AZ1096" t="s">
        <v>35</v>
      </c>
      <c r="BA1096" t="s">
        <v>31</v>
      </c>
      <c r="BB1096">
        <v>13069.82</v>
      </c>
      <c r="BC1096">
        <v>13069.82</v>
      </c>
      <c r="BD1096">
        <v>13299.78</v>
      </c>
      <c r="BE1096">
        <v>13299.78</v>
      </c>
      <c r="BF1096">
        <v>6975.15</v>
      </c>
      <c r="BG1096">
        <v>7451.19</v>
      </c>
      <c r="BH1096">
        <v>-229.96</v>
      </c>
      <c r="BI1096">
        <v>329.81</v>
      </c>
      <c r="BJ1096">
        <v>90.92</v>
      </c>
      <c r="BK1096">
        <v>275.45999999999998</v>
      </c>
      <c r="BL1096">
        <v>3572.69</v>
      </c>
      <c r="BM1096">
        <v>1579.71</v>
      </c>
      <c r="BN1096">
        <v>5023.42</v>
      </c>
      <c r="BP1096" s="3">
        <v>45671</v>
      </c>
      <c r="BQ1096">
        <v>5023.42</v>
      </c>
      <c r="BR1096" s="3">
        <v>45481</v>
      </c>
      <c r="BS1096" t="s">
        <v>1246</v>
      </c>
    </row>
    <row r="1097" spans="1:71" x14ac:dyDescent="0.25">
      <c r="A1097" t="s">
        <v>1245</v>
      </c>
      <c r="B1097" t="s">
        <v>364</v>
      </c>
      <c r="C1097" s="2">
        <f>HYPERLINK("https://szao.dolgi.msk.ru/account/3470266093/", 3470266093)</f>
        <v>3470266093</v>
      </c>
      <c r="D1097" t="s">
        <v>29</v>
      </c>
      <c r="E1097">
        <v>36377.199999999997</v>
      </c>
      <c r="AX1097">
        <v>3.99</v>
      </c>
      <c r="AY1097">
        <v>3.81</v>
      </c>
      <c r="AZ1097" t="s">
        <v>69</v>
      </c>
      <c r="BA1097" t="s">
        <v>49</v>
      </c>
      <c r="BB1097">
        <v>36377.199999999997</v>
      </c>
      <c r="BC1097">
        <v>36377.199999999997</v>
      </c>
      <c r="BD1097">
        <v>36377.199999999997</v>
      </c>
      <c r="BE1097">
        <v>36377.199999999997</v>
      </c>
      <c r="BF1097">
        <v>26823.01</v>
      </c>
      <c r="BG1097">
        <v>10153.57</v>
      </c>
      <c r="BH1097">
        <v>2466.88</v>
      </c>
      <c r="BI1097">
        <v>5609.72</v>
      </c>
      <c r="BJ1097">
        <v>1562.25</v>
      </c>
      <c r="BK1097">
        <v>3172.13</v>
      </c>
      <c r="BL1097">
        <v>11446.44</v>
      </c>
      <c r="BM1097">
        <v>1966.21</v>
      </c>
      <c r="BP1097" s="3">
        <v>45595</v>
      </c>
      <c r="BQ1097">
        <v>34090.699999999997</v>
      </c>
      <c r="BR1097" s="3">
        <v>44804</v>
      </c>
      <c r="BS1097" t="s">
        <v>1247</v>
      </c>
    </row>
    <row r="1098" spans="1:71" x14ac:dyDescent="0.25">
      <c r="A1098" t="s">
        <v>1245</v>
      </c>
      <c r="B1098" t="s">
        <v>284</v>
      </c>
      <c r="C1098" s="2">
        <f>HYPERLINK("https://szao.dolgi.msk.ru/account/3470332169/", 3470332169)</f>
        <v>3470332169</v>
      </c>
      <c r="D1098" t="s">
        <v>29</v>
      </c>
      <c r="E1098">
        <v>65408.86</v>
      </c>
      <c r="AX1098">
        <v>3.91</v>
      </c>
      <c r="AY1098">
        <v>3.93</v>
      </c>
      <c r="AZ1098" t="s">
        <v>30</v>
      </c>
      <c r="BA1098" t="s">
        <v>49</v>
      </c>
      <c r="BB1098">
        <v>65408.86</v>
      </c>
      <c r="BC1098">
        <v>65408.86</v>
      </c>
      <c r="BD1098">
        <v>65408.86</v>
      </c>
      <c r="BE1098">
        <v>65408.86</v>
      </c>
      <c r="BF1098">
        <v>48783.26</v>
      </c>
      <c r="BG1098">
        <v>4948.17</v>
      </c>
      <c r="BH1098">
        <v>9920.7000000000007</v>
      </c>
      <c r="BI1098">
        <v>24202.76</v>
      </c>
      <c r="BJ1098">
        <v>6815.74</v>
      </c>
      <c r="BK1098">
        <v>12848.49</v>
      </c>
      <c r="BL1098">
        <v>5713.48</v>
      </c>
      <c r="BM1098">
        <v>959.52</v>
      </c>
      <c r="BP1098" s="3">
        <v>45597</v>
      </c>
      <c r="BQ1098">
        <v>32539.66</v>
      </c>
      <c r="BR1098" s="3">
        <v>45302</v>
      </c>
      <c r="BS1098" t="s">
        <v>1248</v>
      </c>
    </row>
    <row r="1099" spans="1:71" x14ac:dyDescent="0.25">
      <c r="A1099" t="s">
        <v>1249</v>
      </c>
      <c r="B1099" t="s">
        <v>48</v>
      </c>
      <c r="C1099" s="2">
        <f>HYPERLINK("https://szao.dolgi.msk.ru/account/3470271319/", 3470271319)</f>
        <v>3470271319</v>
      </c>
      <c r="D1099" t="s">
        <v>29</v>
      </c>
      <c r="E1099">
        <v>14128.41</v>
      </c>
      <c r="AX1099">
        <v>2.8</v>
      </c>
      <c r="AY1099">
        <v>2.79</v>
      </c>
      <c r="AZ1099" t="s">
        <v>40</v>
      </c>
      <c r="BA1099" t="s">
        <v>31</v>
      </c>
      <c r="BB1099">
        <v>14128.41</v>
      </c>
      <c r="BC1099">
        <v>14128.41</v>
      </c>
      <c r="BD1099">
        <v>14128.41</v>
      </c>
      <c r="BE1099">
        <v>14128.41</v>
      </c>
      <c r="BF1099">
        <v>9059.82</v>
      </c>
      <c r="BG1099">
        <v>6260.15</v>
      </c>
      <c r="BH1099">
        <v>2152.8000000000002</v>
      </c>
      <c r="BI1099">
        <v>0</v>
      </c>
      <c r="BJ1099">
        <v>0</v>
      </c>
      <c r="BK1099">
        <v>1652.77</v>
      </c>
      <c r="BL1099">
        <v>3405.78</v>
      </c>
      <c r="BM1099">
        <v>656.91</v>
      </c>
      <c r="BP1099" s="3">
        <v>45623</v>
      </c>
      <c r="BQ1099">
        <v>5148.3100000000004</v>
      </c>
    </row>
    <row r="1100" spans="1:71" x14ac:dyDescent="0.25">
      <c r="A1100" t="s">
        <v>1249</v>
      </c>
      <c r="B1100" t="s">
        <v>279</v>
      </c>
      <c r="C1100" s="2">
        <f>HYPERLINK("https://szao.dolgi.msk.ru/account/3470271327/", 3470271327)</f>
        <v>3470271327</v>
      </c>
      <c r="D1100" t="s">
        <v>29</v>
      </c>
      <c r="E1100">
        <v>68669.100000000006</v>
      </c>
      <c r="AX1100">
        <v>6.72</v>
      </c>
      <c r="AY1100">
        <v>6.75</v>
      </c>
      <c r="AZ1100" t="s">
        <v>40</v>
      </c>
      <c r="BA1100" t="s">
        <v>66</v>
      </c>
      <c r="BB1100">
        <v>68669.100000000006</v>
      </c>
      <c r="BC1100">
        <v>68669.100000000006</v>
      </c>
      <c r="BD1100">
        <v>68669.100000000006</v>
      </c>
      <c r="BE1100">
        <v>68669.100000000006</v>
      </c>
      <c r="BF1100">
        <v>58491.58</v>
      </c>
      <c r="BG1100">
        <v>15598.19</v>
      </c>
      <c r="BH1100">
        <v>17799.12</v>
      </c>
      <c r="BI1100">
        <v>0</v>
      </c>
      <c r="BJ1100">
        <v>0</v>
      </c>
      <c r="BK1100">
        <v>13752.31</v>
      </c>
      <c r="BL1100">
        <v>17306.97</v>
      </c>
      <c r="BM1100">
        <v>4212.51</v>
      </c>
      <c r="BP1100" s="3">
        <v>45624</v>
      </c>
      <c r="BQ1100">
        <v>9515.7900000000009</v>
      </c>
      <c r="BR1100" s="3">
        <v>45699</v>
      </c>
      <c r="BS1100" t="s">
        <v>1250</v>
      </c>
    </row>
    <row r="1101" spans="1:71" x14ac:dyDescent="0.25">
      <c r="A1101" t="s">
        <v>1249</v>
      </c>
      <c r="B1101" t="s">
        <v>227</v>
      </c>
      <c r="C1101" s="2">
        <f>HYPERLINK("https://szao.dolgi.msk.ru/account/3470295935/", 3470295935)</f>
        <v>3470295935</v>
      </c>
      <c r="D1101" t="s">
        <v>29</v>
      </c>
      <c r="E1101">
        <v>138141.42000000001</v>
      </c>
      <c r="AX1101">
        <v>48.84</v>
      </c>
      <c r="AY1101">
        <v>51.6</v>
      </c>
      <c r="AZ1101" t="s">
        <v>56</v>
      </c>
      <c r="BA1101" t="s">
        <v>36</v>
      </c>
      <c r="BB1101">
        <v>138141.42000000001</v>
      </c>
      <c r="BC1101">
        <v>138141.42000000001</v>
      </c>
      <c r="BD1101">
        <v>138141.42000000001</v>
      </c>
      <c r="BE1101">
        <v>138141.42000000001</v>
      </c>
      <c r="BF1101">
        <v>135464.18</v>
      </c>
      <c r="BG1101">
        <v>35056.82</v>
      </c>
      <c r="BH1101">
        <v>26921.58</v>
      </c>
      <c r="BI1101">
        <v>0</v>
      </c>
      <c r="BJ1101">
        <v>0</v>
      </c>
      <c r="BK1101">
        <v>20490.88</v>
      </c>
      <c r="BL1101">
        <v>47714.11</v>
      </c>
      <c r="BM1101">
        <v>7958.03</v>
      </c>
      <c r="BP1101" s="3">
        <v>45230</v>
      </c>
      <c r="BQ1101">
        <v>0</v>
      </c>
      <c r="BR1101" s="3">
        <v>45637</v>
      </c>
      <c r="BS1101" t="s">
        <v>1251</v>
      </c>
    </row>
    <row r="1102" spans="1:71" x14ac:dyDescent="0.25">
      <c r="A1102" t="s">
        <v>1249</v>
      </c>
      <c r="B1102" t="s">
        <v>85</v>
      </c>
      <c r="C1102" s="2">
        <f>HYPERLINK("https://szao.dolgi.msk.ru/account/3470295943/", 3470295943)</f>
        <v>3470295943</v>
      </c>
      <c r="D1102" t="s">
        <v>29</v>
      </c>
      <c r="E1102">
        <v>52288.97</v>
      </c>
      <c r="AX1102">
        <v>16.48</v>
      </c>
      <c r="AY1102">
        <v>13.76</v>
      </c>
      <c r="AZ1102" t="s">
        <v>40</v>
      </c>
      <c r="BA1102" t="s">
        <v>36</v>
      </c>
      <c r="BB1102">
        <v>52288.97</v>
      </c>
      <c r="BC1102">
        <v>52288.97</v>
      </c>
      <c r="BD1102">
        <v>52288.97</v>
      </c>
      <c r="BE1102">
        <v>52288.97</v>
      </c>
      <c r="BF1102">
        <v>48489.39</v>
      </c>
      <c r="BG1102">
        <v>6456.66</v>
      </c>
      <c r="BH1102">
        <v>17988.419999999998</v>
      </c>
      <c r="BI1102">
        <v>0</v>
      </c>
      <c r="BJ1102">
        <v>0</v>
      </c>
      <c r="BK1102">
        <v>17105.2</v>
      </c>
      <c r="BL1102">
        <v>8816.93</v>
      </c>
      <c r="BM1102">
        <v>1921.76</v>
      </c>
      <c r="BP1102" s="3">
        <v>45656</v>
      </c>
      <c r="BQ1102">
        <v>6653.18</v>
      </c>
      <c r="BR1102" s="3">
        <v>45635</v>
      </c>
      <c r="BS1102" t="s">
        <v>1252</v>
      </c>
    </row>
    <row r="1103" spans="1:71" x14ac:dyDescent="0.25">
      <c r="A1103" t="s">
        <v>1249</v>
      </c>
      <c r="B1103" t="s">
        <v>85</v>
      </c>
      <c r="C1103" s="2">
        <f>HYPERLINK("https://szao.dolgi.msk.ru/account/3470295951/", 3470295951)</f>
        <v>3470295951</v>
      </c>
      <c r="D1103" t="s">
        <v>29</v>
      </c>
      <c r="E1103">
        <v>31297.55</v>
      </c>
      <c r="AX1103">
        <v>17.43</v>
      </c>
      <c r="AY1103">
        <v>16.52</v>
      </c>
      <c r="AZ1103" t="s">
        <v>30</v>
      </c>
      <c r="BA1103" t="s">
        <v>36</v>
      </c>
      <c r="BB1103">
        <v>31297.55</v>
      </c>
      <c r="BC1103">
        <v>31297.55</v>
      </c>
      <c r="BD1103">
        <v>32623.11</v>
      </c>
      <c r="BE1103">
        <v>32623.11</v>
      </c>
      <c r="BF1103">
        <v>29403.58</v>
      </c>
      <c r="BG1103">
        <v>12157.78</v>
      </c>
      <c r="BH1103">
        <v>-479.72</v>
      </c>
      <c r="BI1103">
        <v>0</v>
      </c>
      <c r="BJ1103">
        <v>0</v>
      </c>
      <c r="BK1103">
        <v>-845.84</v>
      </c>
      <c r="BL1103">
        <v>16979.009999999998</v>
      </c>
      <c r="BM1103">
        <v>3486.32</v>
      </c>
      <c r="BP1103" s="3">
        <v>45654</v>
      </c>
      <c r="BQ1103">
        <v>4794.3599999999997</v>
      </c>
      <c r="BR1103" s="3">
        <v>45618</v>
      </c>
      <c r="BS1103" t="s">
        <v>1253</v>
      </c>
    </row>
    <row r="1104" spans="1:71" x14ac:dyDescent="0.25">
      <c r="A1104" t="s">
        <v>1249</v>
      </c>
      <c r="B1104" t="s">
        <v>247</v>
      </c>
      <c r="C1104" s="2">
        <f>HYPERLINK("https://szao.dolgi.msk.ru/account/3470271562/", 3470271562)</f>
        <v>3470271562</v>
      </c>
      <c r="D1104" t="s">
        <v>29</v>
      </c>
      <c r="E1104">
        <v>12840.09</v>
      </c>
      <c r="AX1104">
        <v>2.66</v>
      </c>
      <c r="AY1104">
        <v>2.6</v>
      </c>
      <c r="AZ1104" t="s">
        <v>40</v>
      </c>
      <c r="BA1104" t="s">
        <v>31</v>
      </c>
      <c r="BB1104">
        <v>12840.09</v>
      </c>
      <c r="BC1104">
        <v>12840.09</v>
      </c>
      <c r="BD1104">
        <v>12840.09</v>
      </c>
      <c r="BE1104">
        <v>12840.09</v>
      </c>
      <c r="BF1104">
        <v>7904.37</v>
      </c>
      <c r="BG1104">
        <v>3061.9</v>
      </c>
      <c r="BH1104">
        <v>1035.05</v>
      </c>
      <c r="BI1104">
        <v>0</v>
      </c>
      <c r="BJ1104">
        <v>0</v>
      </c>
      <c r="BK1104">
        <v>794.64</v>
      </c>
      <c r="BL1104">
        <v>6663.27</v>
      </c>
      <c r="BM1104">
        <v>1285.23</v>
      </c>
      <c r="BP1104" s="3">
        <v>45636</v>
      </c>
      <c r="BQ1104">
        <v>7304.88</v>
      </c>
    </row>
    <row r="1105" spans="1:71" x14ac:dyDescent="0.25">
      <c r="A1105" t="s">
        <v>1254</v>
      </c>
      <c r="B1105" t="s">
        <v>287</v>
      </c>
      <c r="C1105" s="2">
        <f>HYPERLINK("https://szao.dolgi.msk.ru/account/3470497318/", 3470497318)</f>
        <v>3470497318</v>
      </c>
      <c r="D1105" t="s">
        <v>29</v>
      </c>
      <c r="E1105">
        <v>2752.74</v>
      </c>
      <c r="AX1105">
        <v>2.7</v>
      </c>
      <c r="AY1105">
        <v>2.67</v>
      </c>
      <c r="AZ1105" t="s">
        <v>40</v>
      </c>
      <c r="BA1105" t="s">
        <v>31</v>
      </c>
      <c r="BB1105">
        <v>2752.74</v>
      </c>
      <c r="BC1105">
        <v>2668.69</v>
      </c>
      <c r="BD1105">
        <v>2752.74</v>
      </c>
      <c r="BE1105">
        <v>2668.69</v>
      </c>
      <c r="BF1105">
        <v>2180.88</v>
      </c>
      <c r="BG1105">
        <v>541.27</v>
      </c>
      <c r="BH1105">
        <v>743.62</v>
      </c>
      <c r="BI1105">
        <v>0</v>
      </c>
      <c r="BJ1105">
        <v>0</v>
      </c>
      <c r="BK1105">
        <v>582.13</v>
      </c>
      <c r="BL1105">
        <v>747.24</v>
      </c>
      <c r="BM1105">
        <v>138.47999999999999</v>
      </c>
      <c r="BN1105">
        <v>1841.04</v>
      </c>
      <c r="BP1105" s="3">
        <v>45692</v>
      </c>
      <c r="BQ1105">
        <v>460.26</v>
      </c>
    </row>
    <row r="1106" spans="1:71" x14ac:dyDescent="0.25">
      <c r="A1106" t="s">
        <v>1254</v>
      </c>
      <c r="B1106" t="s">
        <v>287</v>
      </c>
      <c r="C1106" s="2">
        <f>HYPERLINK("https://szao.dolgi.msk.ru/account/3470497326/", 3470497326)</f>
        <v>3470497326</v>
      </c>
      <c r="D1106" t="s">
        <v>29</v>
      </c>
      <c r="E1106">
        <v>5505.38</v>
      </c>
      <c r="AX1106">
        <v>2.72</v>
      </c>
      <c r="AY1106">
        <v>2.67</v>
      </c>
      <c r="AZ1106" t="s">
        <v>40</v>
      </c>
      <c r="BA1106" t="s">
        <v>31</v>
      </c>
      <c r="BB1106">
        <v>5505.38</v>
      </c>
      <c r="BC1106">
        <v>5337.27</v>
      </c>
      <c r="BD1106">
        <v>5505.38</v>
      </c>
      <c r="BE1106">
        <v>5337.27</v>
      </c>
      <c r="BF1106">
        <v>4361.66</v>
      </c>
      <c r="BG1106">
        <v>1082.54</v>
      </c>
      <c r="BH1106">
        <v>1487.2</v>
      </c>
      <c r="BI1106">
        <v>0</v>
      </c>
      <c r="BJ1106">
        <v>0</v>
      </c>
      <c r="BK1106">
        <v>1164.27</v>
      </c>
      <c r="BL1106">
        <v>1494.44</v>
      </c>
      <c r="BM1106">
        <v>276.93</v>
      </c>
      <c r="BN1106">
        <v>3682</v>
      </c>
      <c r="BP1106" s="3">
        <v>45692</v>
      </c>
      <c r="BQ1106">
        <v>920.5</v>
      </c>
    </row>
    <row r="1107" spans="1:71" x14ac:dyDescent="0.25">
      <c r="A1107" t="s">
        <v>1254</v>
      </c>
      <c r="B1107" t="s">
        <v>287</v>
      </c>
      <c r="C1107" s="2">
        <f>HYPERLINK("https://szao.dolgi.msk.ru/account/3470497334/", 3470497334)</f>
        <v>3470497334</v>
      </c>
      <c r="D1107" t="s">
        <v>29</v>
      </c>
      <c r="E1107">
        <v>27589.360000000001</v>
      </c>
      <c r="AX1107">
        <v>4.9000000000000004</v>
      </c>
      <c r="AY1107">
        <v>4.46</v>
      </c>
      <c r="AZ1107" t="s">
        <v>69</v>
      </c>
      <c r="BA1107" t="s">
        <v>49</v>
      </c>
      <c r="BB1107">
        <v>27589.360000000001</v>
      </c>
      <c r="BC1107">
        <v>27085.02</v>
      </c>
      <c r="BD1107">
        <v>27589.360000000001</v>
      </c>
      <c r="BE1107">
        <v>27085.02</v>
      </c>
      <c r="BF1107">
        <v>21396.720000000001</v>
      </c>
      <c r="BG1107">
        <v>7067.17</v>
      </c>
      <c r="BH1107">
        <v>5049.59</v>
      </c>
      <c r="BI1107">
        <v>0</v>
      </c>
      <c r="BJ1107">
        <v>0</v>
      </c>
      <c r="BK1107">
        <v>3887.85</v>
      </c>
      <c r="BL1107">
        <v>9924.75</v>
      </c>
      <c r="BM1107">
        <v>1660</v>
      </c>
      <c r="BP1107" s="3">
        <v>45530</v>
      </c>
      <c r="BQ1107">
        <v>2761.47</v>
      </c>
      <c r="BR1107" s="3">
        <v>45383</v>
      </c>
      <c r="BS1107" t="s">
        <v>1255</v>
      </c>
    </row>
    <row r="1108" spans="1:71" x14ac:dyDescent="0.25">
      <c r="A1108" t="s">
        <v>1254</v>
      </c>
      <c r="B1108" t="s">
        <v>85</v>
      </c>
      <c r="C1108" s="2">
        <f>HYPERLINK("https://szao.dolgi.msk.ru/account/3470296014/", 3470296014)</f>
        <v>3470296014</v>
      </c>
      <c r="D1108" t="s">
        <v>29</v>
      </c>
      <c r="E1108">
        <v>9737.7900000000009</v>
      </c>
      <c r="AX1108">
        <v>3.72</v>
      </c>
      <c r="AY1108">
        <v>3.73</v>
      </c>
      <c r="AZ1108" t="s">
        <v>69</v>
      </c>
      <c r="BA1108" t="s">
        <v>49</v>
      </c>
      <c r="BB1108">
        <v>9737.7900000000009</v>
      </c>
      <c r="BC1108">
        <v>9737.7900000000009</v>
      </c>
      <c r="BD1108">
        <v>9737.7900000000009</v>
      </c>
      <c r="BE1108">
        <v>9737.7900000000009</v>
      </c>
      <c r="BF1108">
        <v>7125.61</v>
      </c>
      <c r="BG1108">
        <v>2621.46</v>
      </c>
      <c r="BH1108">
        <v>1528.34</v>
      </c>
      <c r="BI1108">
        <v>0</v>
      </c>
      <c r="BJ1108">
        <v>0</v>
      </c>
      <c r="BK1108">
        <v>1173.3499999999999</v>
      </c>
      <c r="BL1108">
        <v>3727.96</v>
      </c>
      <c r="BM1108">
        <v>686.68</v>
      </c>
      <c r="BP1108" s="3">
        <v>45580</v>
      </c>
      <c r="BQ1108">
        <v>8552.32</v>
      </c>
    </row>
    <row r="1109" spans="1:71" x14ac:dyDescent="0.25">
      <c r="A1109" t="s">
        <v>1256</v>
      </c>
      <c r="B1109" t="s">
        <v>296</v>
      </c>
      <c r="C1109" s="2">
        <f>HYPERLINK("https://szao.dolgi.msk.ru/account/3470490722/", 3470490722)</f>
        <v>3470490722</v>
      </c>
      <c r="D1109" t="s">
        <v>29</v>
      </c>
      <c r="E1109">
        <v>4862.84</v>
      </c>
      <c r="AX1109">
        <v>2.79</v>
      </c>
      <c r="AY1109">
        <v>2.23</v>
      </c>
      <c r="AZ1109" t="s">
        <v>35</v>
      </c>
      <c r="BA1109" t="s">
        <v>31</v>
      </c>
      <c r="BB1109">
        <v>4862.84</v>
      </c>
      <c r="BC1109">
        <v>4862.84</v>
      </c>
      <c r="BD1109">
        <v>4862.84</v>
      </c>
      <c r="BE1109">
        <v>4862.84</v>
      </c>
      <c r="BF1109">
        <v>2767.44</v>
      </c>
      <c r="BG1109">
        <v>1262.83</v>
      </c>
      <c r="BH1109">
        <v>792.16</v>
      </c>
      <c r="BI1109">
        <v>26.6</v>
      </c>
      <c r="BJ1109">
        <v>9.02</v>
      </c>
      <c r="BK1109">
        <v>1067.03</v>
      </c>
      <c r="BL1109">
        <v>1351.78</v>
      </c>
      <c r="BM1109">
        <v>353.42</v>
      </c>
      <c r="BO1109">
        <v>1984.55</v>
      </c>
      <c r="BP1109" s="3">
        <v>45680</v>
      </c>
      <c r="BQ1109">
        <v>1984.55</v>
      </c>
    </row>
    <row r="1110" spans="1:71" x14ac:dyDescent="0.25">
      <c r="A1110" t="s">
        <v>1256</v>
      </c>
      <c r="B1110" t="s">
        <v>602</v>
      </c>
      <c r="C1110" s="2">
        <f>HYPERLINK("https://szao.dolgi.msk.ru/account/3470490853/", 3470490853)</f>
        <v>3470490853</v>
      </c>
      <c r="D1110" t="s">
        <v>29</v>
      </c>
      <c r="E1110">
        <v>29700.7</v>
      </c>
      <c r="AX1110">
        <v>3.16</v>
      </c>
      <c r="AY1110">
        <v>2.68</v>
      </c>
      <c r="AZ1110" t="s">
        <v>142</v>
      </c>
      <c r="BA1110" t="s">
        <v>49</v>
      </c>
      <c r="BB1110">
        <v>29700.7</v>
      </c>
      <c r="BC1110">
        <v>29700.7</v>
      </c>
      <c r="BD1110">
        <v>29700.7</v>
      </c>
      <c r="BE1110">
        <v>29700.7</v>
      </c>
      <c r="BF1110">
        <v>18774.240000000002</v>
      </c>
      <c r="BG1110">
        <v>3684.86</v>
      </c>
      <c r="BH1110">
        <v>7310.05</v>
      </c>
      <c r="BI1110">
        <v>5967.31</v>
      </c>
      <c r="BJ1110">
        <v>1648.22</v>
      </c>
      <c r="BK1110">
        <v>6982.77</v>
      </c>
      <c r="BL1110">
        <v>3131.4</v>
      </c>
      <c r="BM1110">
        <v>976.09</v>
      </c>
      <c r="BP1110" s="3">
        <v>45667</v>
      </c>
      <c r="BQ1110">
        <v>28196.39</v>
      </c>
      <c r="BR1110" s="3">
        <v>45638</v>
      </c>
      <c r="BS1110" t="s">
        <v>1257</v>
      </c>
    </row>
    <row r="1111" spans="1:71" x14ac:dyDescent="0.25">
      <c r="A1111" t="s">
        <v>1256</v>
      </c>
      <c r="B1111" t="s">
        <v>191</v>
      </c>
      <c r="C1111" s="2">
        <f>HYPERLINK("https://szao.dolgi.msk.ru/account/3470491354/", 3470491354)</f>
        <v>3470491354</v>
      </c>
      <c r="D1111" t="s">
        <v>29</v>
      </c>
      <c r="E1111">
        <v>186303.5</v>
      </c>
      <c r="AX1111">
        <v>24.18</v>
      </c>
      <c r="AY1111">
        <v>21.88</v>
      </c>
      <c r="AZ1111" t="s">
        <v>40</v>
      </c>
      <c r="BA1111" t="s">
        <v>36</v>
      </c>
      <c r="BB1111">
        <v>186303.5</v>
      </c>
      <c r="BC1111">
        <v>186303.5</v>
      </c>
      <c r="BD1111">
        <v>186303.5</v>
      </c>
      <c r="BE1111">
        <v>186303.5</v>
      </c>
      <c r="BF1111">
        <v>186403.27</v>
      </c>
      <c r="BG1111">
        <v>6268.08</v>
      </c>
      <c r="BH1111">
        <v>28658.41</v>
      </c>
      <c r="BI1111">
        <v>71210.69</v>
      </c>
      <c r="BJ1111">
        <v>18866.2</v>
      </c>
      <c r="BK1111">
        <v>36721.9</v>
      </c>
      <c r="BL1111">
        <v>20745.8</v>
      </c>
      <c r="BM1111">
        <v>3832.42</v>
      </c>
      <c r="BO1111">
        <v>8512.99</v>
      </c>
      <c r="BP1111" s="3">
        <v>45692</v>
      </c>
      <c r="BQ1111">
        <v>8512.99</v>
      </c>
      <c r="BR1111" s="3">
        <v>45693</v>
      </c>
      <c r="BS1111" t="s">
        <v>1258</v>
      </c>
    </row>
    <row r="1112" spans="1:71" x14ac:dyDescent="0.25">
      <c r="A1112" t="s">
        <v>1256</v>
      </c>
      <c r="B1112" t="s">
        <v>568</v>
      </c>
      <c r="C1112" s="2">
        <f>HYPERLINK("https://szao.dolgi.msk.ru/account/3470567507/", 3470567507)</f>
        <v>3470567507</v>
      </c>
      <c r="D1112" t="s">
        <v>29</v>
      </c>
      <c r="E1112">
        <v>6317.74</v>
      </c>
      <c r="AX1112">
        <v>5.64</v>
      </c>
      <c r="AY1112">
        <v>3.67</v>
      </c>
      <c r="AZ1112" t="s">
        <v>69</v>
      </c>
      <c r="BA1112" t="s">
        <v>49</v>
      </c>
      <c r="BB1112">
        <v>6317.74</v>
      </c>
      <c r="BC1112">
        <v>6317.74</v>
      </c>
      <c r="BD1112">
        <v>8642.8700000000008</v>
      </c>
      <c r="BE1112">
        <v>8642.8700000000008</v>
      </c>
      <c r="BF1112">
        <v>4690.09</v>
      </c>
      <c r="BG1112">
        <v>2543.41</v>
      </c>
      <c r="BH1112">
        <v>-1632.83</v>
      </c>
      <c r="BI1112">
        <v>1979.01</v>
      </c>
      <c r="BJ1112">
        <v>64.11</v>
      </c>
      <c r="BK1112">
        <v>-692.3</v>
      </c>
      <c r="BL1112">
        <v>3308.08</v>
      </c>
      <c r="BM1112">
        <v>748.26</v>
      </c>
      <c r="BP1112" s="3">
        <v>45530</v>
      </c>
      <c r="BQ1112">
        <v>1789.44</v>
      </c>
      <c r="BR1112" s="3">
        <v>44876</v>
      </c>
      <c r="BS1112" t="s">
        <v>1259</v>
      </c>
    </row>
    <row r="1113" spans="1:71" x14ac:dyDescent="0.25">
      <c r="A1113" t="s">
        <v>1256</v>
      </c>
      <c r="B1113" t="s">
        <v>840</v>
      </c>
      <c r="C1113" s="2">
        <f>HYPERLINK("https://szao.dolgi.msk.ru/account/3470491696/", 3470491696)</f>
        <v>3470491696</v>
      </c>
      <c r="D1113" t="s">
        <v>29</v>
      </c>
      <c r="E1113">
        <v>15490.62</v>
      </c>
      <c r="AX1113">
        <v>4.6900000000000004</v>
      </c>
      <c r="AY1113">
        <v>4.76</v>
      </c>
      <c r="AZ1113" t="s">
        <v>69</v>
      </c>
      <c r="BA1113" t="s">
        <v>49</v>
      </c>
      <c r="BB1113">
        <v>15490.62</v>
      </c>
      <c r="BC1113">
        <v>15490.62</v>
      </c>
      <c r="BD1113">
        <v>15490.62</v>
      </c>
      <c r="BE1113">
        <v>15490.62</v>
      </c>
      <c r="BF1113">
        <v>12309.96</v>
      </c>
      <c r="BG1113">
        <v>1766.52</v>
      </c>
      <c r="BH1113">
        <v>2073.5500000000002</v>
      </c>
      <c r="BI1113">
        <v>5037.75</v>
      </c>
      <c r="BJ1113">
        <v>1418.75</v>
      </c>
      <c r="BK1113">
        <v>2681.15</v>
      </c>
      <c r="BL1113">
        <v>2043.4</v>
      </c>
      <c r="BM1113">
        <v>469.5</v>
      </c>
      <c r="BP1113" s="3">
        <v>45558</v>
      </c>
      <c r="BQ1113">
        <v>10458.65</v>
      </c>
    </row>
    <row r="1114" spans="1:71" x14ac:dyDescent="0.25">
      <c r="A1114" t="s">
        <v>1256</v>
      </c>
      <c r="B1114" t="s">
        <v>478</v>
      </c>
      <c r="C1114" s="2">
        <f>HYPERLINK("https://szao.dolgi.msk.ru/account/3470492832/", 3470492832)</f>
        <v>3470492832</v>
      </c>
      <c r="D1114" t="s">
        <v>29</v>
      </c>
      <c r="E1114">
        <v>69202.62</v>
      </c>
      <c r="AX1114">
        <v>25.32</v>
      </c>
      <c r="AY1114">
        <v>14.69</v>
      </c>
      <c r="AZ1114" t="s">
        <v>45</v>
      </c>
      <c r="BA1114" t="s">
        <v>36</v>
      </c>
      <c r="BB1114">
        <v>69202.62</v>
      </c>
      <c r="BC1114">
        <v>69202.62</v>
      </c>
      <c r="BD1114">
        <v>70105.67</v>
      </c>
      <c r="BE1114">
        <v>70105.67</v>
      </c>
      <c r="BF1114">
        <v>64563.1</v>
      </c>
      <c r="BG1114">
        <v>-903.05</v>
      </c>
      <c r="BH1114">
        <v>19490.75</v>
      </c>
      <c r="BI1114">
        <v>16865.52</v>
      </c>
      <c r="BJ1114">
        <v>8150.72</v>
      </c>
      <c r="BK1114">
        <v>17626.14</v>
      </c>
      <c r="BL1114">
        <v>4544</v>
      </c>
      <c r="BM1114">
        <v>3428.54</v>
      </c>
      <c r="BP1114" s="3">
        <v>45417</v>
      </c>
      <c r="BQ1114">
        <v>38284.07</v>
      </c>
      <c r="BR1114" s="3">
        <v>45635</v>
      </c>
      <c r="BS1114" t="s">
        <v>1260</v>
      </c>
    </row>
    <row r="1115" spans="1:71" x14ac:dyDescent="0.25">
      <c r="A1115" t="s">
        <v>1256</v>
      </c>
      <c r="B1115" t="s">
        <v>469</v>
      </c>
      <c r="C1115" s="2">
        <f>HYPERLINK("https://szao.dolgi.msk.ru/account/3470493229/", 3470493229)</f>
        <v>3470493229</v>
      </c>
      <c r="D1115" t="s">
        <v>29</v>
      </c>
      <c r="E1115">
        <v>1911.47</v>
      </c>
      <c r="AX1115">
        <v>9.0399999999999991</v>
      </c>
      <c r="AY1115">
        <v>1.42</v>
      </c>
      <c r="AZ1115" t="s">
        <v>40</v>
      </c>
      <c r="BA1115" t="s">
        <v>63</v>
      </c>
      <c r="BB1115">
        <v>1911.47</v>
      </c>
      <c r="BC1115">
        <v>1911.47</v>
      </c>
      <c r="BD1115">
        <v>19708.939999999999</v>
      </c>
      <c r="BE1115">
        <v>19708.939999999999</v>
      </c>
      <c r="BF1115">
        <v>569.29999999999995</v>
      </c>
      <c r="BG1115">
        <v>1020.68</v>
      </c>
      <c r="BH1115">
        <v>-17797.47</v>
      </c>
      <c r="BI1115">
        <v>3335.9</v>
      </c>
      <c r="BJ1115">
        <v>4226.66</v>
      </c>
      <c r="BK1115">
        <v>9599.06</v>
      </c>
      <c r="BL1115">
        <v>1277.22</v>
      </c>
      <c r="BM1115">
        <v>249.42</v>
      </c>
      <c r="BP1115" s="3">
        <v>45653</v>
      </c>
      <c r="BQ1115">
        <v>1205.1500000000001</v>
      </c>
    </row>
    <row r="1116" spans="1:71" x14ac:dyDescent="0.25">
      <c r="A1116" t="s">
        <v>1261</v>
      </c>
      <c r="B1116" t="s">
        <v>136</v>
      </c>
      <c r="C1116" s="2">
        <f>HYPERLINK("https://szao.dolgi.msk.ru/account/3470491792/", 3470491792)</f>
        <v>3470491792</v>
      </c>
      <c r="D1116" t="s">
        <v>29</v>
      </c>
      <c r="E1116">
        <v>82812.42</v>
      </c>
      <c r="AX1116">
        <v>9.56</v>
      </c>
      <c r="AY1116">
        <v>8.6</v>
      </c>
      <c r="AZ1116" t="s">
        <v>40</v>
      </c>
      <c r="BA1116" t="s">
        <v>63</v>
      </c>
      <c r="BB1116">
        <v>82812.42</v>
      </c>
      <c r="BC1116">
        <v>82812.42</v>
      </c>
      <c r="BD1116">
        <v>82812.42</v>
      </c>
      <c r="BE1116">
        <v>82812.42</v>
      </c>
      <c r="BF1116">
        <v>73571.39</v>
      </c>
      <c r="BG1116">
        <v>9840.86</v>
      </c>
      <c r="BH1116">
        <v>21739.48</v>
      </c>
      <c r="BI1116">
        <v>26239.67</v>
      </c>
      <c r="BJ1116">
        <v>6011.69</v>
      </c>
      <c r="BK1116">
        <v>13622.7</v>
      </c>
      <c r="BL1116">
        <v>3482.24</v>
      </c>
      <c r="BM1116">
        <v>1875.78</v>
      </c>
      <c r="BN1116">
        <v>2558.9299999999998</v>
      </c>
      <c r="BP1116" s="3">
        <v>45683</v>
      </c>
      <c r="BQ1116">
        <v>2558.9299999999998</v>
      </c>
      <c r="BR1116" s="3">
        <v>45699</v>
      </c>
      <c r="BS1116" t="s">
        <v>1262</v>
      </c>
    </row>
    <row r="1117" spans="1:71" x14ac:dyDescent="0.25">
      <c r="A1117" t="s">
        <v>1261</v>
      </c>
      <c r="B1117" t="s">
        <v>106</v>
      </c>
      <c r="C1117" s="2">
        <f>HYPERLINK("https://szao.dolgi.msk.ru/account/3470492365/", 3470492365)</f>
        <v>3470492365</v>
      </c>
      <c r="D1117" t="s">
        <v>29</v>
      </c>
      <c r="E1117">
        <v>13670.64</v>
      </c>
      <c r="AX1117">
        <v>2.4900000000000002</v>
      </c>
      <c r="AY1117">
        <v>2.33</v>
      </c>
      <c r="AZ1117" t="s">
        <v>40</v>
      </c>
      <c r="BA1117" t="s">
        <v>31</v>
      </c>
      <c r="BB1117">
        <v>13670.64</v>
      </c>
      <c r="BC1117">
        <v>13670.64</v>
      </c>
      <c r="BD1117">
        <v>13670.64</v>
      </c>
      <c r="BE1117">
        <v>13670.64</v>
      </c>
      <c r="BF1117">
        <v>12577.19</v>
      </c>
      <c r="BG1117">
        <v>3177.1</v>
      </c>
      <c r="BH1117">
        <v>3403.11</v>
      </c>
      <c r="BI1117">
        <v>2643.1</v>
      </c>
      <c r="BJ1117">
        <v>756.55</v>
      </c>
      <c r="BK1117">
        <v>3189.27</v>
      </c>
      <c r="BL1117">
        <v>176.07</v>
      </c>
      <c r="BM1117">
        <v>325.44</v>
      </c>
      <c r="BN1117">
        <v>5943.74</v>
      </c>
      <c r="BO1117">
        <v>4569.21</v>
      </c>
      <c r="BP1117" s="3">
        <v>45695</v>
      </c>
      <c r="BQ1117">
        <v>4569.21</v>
      </c>
      <c r="BR1117" s="3">
        <v>45638</v>
      </c>
      <c r="BS1117" t="s">
        <v>1263</v>
      </c>
    </row>
    <row r="1118" spans="1:71" x14ac:dyDescent="0.25">
      <c r="A1118" t="s">
        <v>1261</v>
      </c>
      <c r="B1118" t="s">
        <v>245</v>
      </c>
      <c r="C1118" s="2">
        <f>HYPERLINK("https://szao.dolgi.msk.ru/account/3470493755/", 3470493755)</f>
        <v>3470493755</v>
      </c>
      <c r="D1118" t="s">
        <v>29</v>
      </c>
      <c r="E1118">
        <v>23764.84</v>
      </c>
      <c r="AX1118">
        <v>3.6</v>
      </c>
      <c r="AY1118">
        <v>3.6</v>
      </c>
      <c r="AZ1118" t="s">
        <v>69</v>
      </c>
      <c r="BA1118" t="s">
        <v>49</v>
      </c>
      <c r="BB1118">
        <v>23764.84</v>
      </c>
      <c r="BC1118">
        <v>23764.84</v>
      </c>
      <c r="BD1118">
        <v>23764.84</v>
      </c>
      <c r="BE1118">
        <v>23764.84</v>
      </c>
      <c r="BF1118">
        <v>17542.11</v>
      </c>
      <c r="BG1118">
        <v>5220.5600000000004</v>
      </c>
      <c r="BH1118">
        <v>4976.5600000000004</v>
      </c>
      <c r="BI1118">
        <v>4030.2</v>
      </c>
      <c r="BJ1118">
        <v>1135</v>
      </c>
      <c r="BK1118">
        <v>4692</v>
      </c>
      <c r="BL1118">
        <v>2698.2</v>
      </c>
      <c r="BM1118">
        <v>1012.32</v>
      </c>
      <c r="BP1118" s="3">
        <v>45589</v>
      </c>
      <c r="BQ1118">
        <v>11758.62</v>
      </c>
    </row>
    <row r="1119" spans="1:71" x14ac:dyDescent="0.25">
      <c r="A1119" t="s">
        <v>1261</v>
      </c>
      <c r="B1119" t="s">
        <v>359</v>
      </c>
      <c r="C1119" s="2">
        <f>HYPERLINK("https://szao.dolgi.msk.ru/account/3470492664/", 3470492664)</f>
        <v>3470492664</v>
      </c>
      <c r="D1119" t="s">
        <v>29</v>
      </c>
      <c r="E1119">
        <v>175672.45</v>
      </c>
      <c r="AX1119">
        <v>32.729999999999997</v>
      </c>
      <c r="AY1119">
        <v>30.14</v>
      </c>
      <c r="AZ1119" t="s">
        <v>56</v>
      </c>
      <c r="BA1119" t="s">
        <v>36</v>
      </c>
      <c r="BB1119">
        <v>175672.45</v>
      </c>
      <c r="BC1119">
        <v>175672.45</v>
      </c>
      <c r="BD1119">
        <v>175672.45</v>
      </c>
      <c r="BE1119">
        <v>175672.45</v>
      </c>
      <c r="BF1119">
        <v>170233.07</v>
      </c>
      <c r="BG1119">
        <v>26865.62</v>
      </c>
      <c r="BH1119">
        <v>32192.07</v>
      </c>
      <c r="BI1119">
        <v>42594.3</v>
      </c>
      <c r="BJ1119">
        <v>11155.43</v>
      </c>
      <c r="BK1119">
        <v>16347.57</v>
      </c>
      <c r="BL1119">
        <v>37149.58</v>
      </c>
      <c r="BM1119">
        <v>9367.8799999999992</v>
      </c>
      <c r="BP1119" s="3">
        <v>45417</v>
      </c>
      <c r="BQ1119">
        <v>1980.62</v>
      </c>
      <c r="BR1119" s="3">
        <v>45429</v>
      </c>
      <c r="BS1119" t="s">
        <v>1264</v>
      </c>
    </row>
    <row r="1120" spans="1:71" x14ac:dyDescent="0.25">
      <c r="A1120" t="s">
        <v>1261</v>
      </c>
      <c r="B1120" t="s">
        <v>88</v>
      </c>
      <c r="C1120" s="2">
        <f>HYPERLINK("https://szao.dolgi.msk.ru/account/3470492672/", 3470492672)</f>
        <v>3470492672</v>
      </c>
      <c r="D1120" t="s">
        <v>29</v>
      </c>
      <c r="E1120">
        <v>119347.11</v>
      </c>
      <c r="AX1120">
        <v>14.83</v>
      </c>
      <c r="AY1120">
        <v>11.6</v>
      </c>
      <c r="AZ1120" t="s">
        <v>69</v>
      </c>
      <c r="BA1120" t="s">
        <v>36</v>
      </c>
      <c r="BB1120">
        <v>119347.11</v>
      </c>
      <c r="BC1120">
        <v>119347.11</v>
      </c>
      <c r="BD1120">
        <v>120281.35</v>
      </c>
      <c r="BE1120">
        <v>120281.35</v>
      </c>
      <c r="BF1120">
        <v>109437.79</v>
      </c>
      <c r="BG1120">
        <v>-934.24</v>
      </c>
      <c r="BH1120">
        <v>31277.74</v>
      </c>
      <c r="BI1120">
        <v>31978.76</v>
      </c>
      <c r="BJ1120">
        <v>14189.63</v>
      </c>
      <c r="BK1120">
        <v>32764.95</v>
      </c>
      <c r="BL1120">
        <v>1337.36</v>
      </c>
      <c r="BM1120">
        <v>8732.91</v>
      </c>
      <c r="BP1120" s="3">
        <v>45601</v>
      </c>
      <c r="BQ1120">
        <v>25000</v>
      </c>
      <c r="BR1120" s="3">
        <v>45546</v>
      </c>
      <c r="BS1120" t="s">
        <v>1265</v>
      </c>
    </row>
    <row r="1121" spans="1:71" x14ac:dyDescent="0.25">
      <c r="A1121" t="s">
        <v>1261</v>
      </c>
      <c r="B1121" t="s">
        <v>90</v>
      </c>
      <c r="C1121" s="2">
        <f>HYPERLINK("https://szao.dolgi.msk.ru/account/3470492816/", 3470492816)</f>
        <v>3470492816</v>
      </c>
      <c r="D1121" t="s">
        <v>29</v>
      </c>
      <c r="E1121">
        <v>36725.1</v>
      </c>
      <c r="AX1121">
        <v>2.92</v>
      </c>
      <c r="AY1121">
        <v>2.62</v>
      </c>
      <c r="AZ1121" t="s">
        <v>30</v>
      </c>
      <c r="BA1121" t="s">
        <v>31</v>
      </c>
      <c r="BB1121">
        <v>36725.1</v>
      </c>
      <c r="BC1121">
        <v>36725.1</v>
      </c>
      <c r="BD1121">
        <v>36725.1</v>
      </c>
      <c r="BE1121">
        <v>36725.1</v>
      </c>
      <c r="BF1121">
        <v>81965.399999999994</v>
      </c>
      <c r="BG1121">
        <v>4366.66</v>
      </c>
      <c r="BH1121">
        <v>8348.52</v>
      </c>
      <c r="BI1121">
        <v>10129.65</v>
      </c>
      <c r="BJ1121">
        <v>2734.2</v>
      </c>
      <c r="BK1121">
        <v>9578.5300000000007</v>
      </c>
      <c r="BL1121">
        <v>668.68</v>
      </c>
      <c r="BM1121">
        <v>898.86</v>
      </c>
      <c r="BN1121">
        <v>58858.05</v>
      </c>
      <c r="BP1121" s="3">
        <v>45694</v>
      </c>
      <c r="BQ1121">
        <v>58858.05</v>
      </c>
      <c r="BR1121" s="3">
        <v>45638</v>
      </c>
      <c r="BS1121" t="s">
        <v>1266</v>
      </c>
    </row>
    <row r="1122" spans="1:71" x14ac:dyDescent="0.25">
      <c r="A1122" t="s">
        <v>1267</v>
      </c>
      <c r="B1122" t="s">
        <v>311</v>
      </c>
      <c r="C1122" s="2">
        <f>HYPERLINK("https://szao.dolgi.msk.ru/account/3470285403/", 3470285403)</f>
        <v>3470285403</v>
      </c>
      <c r="D1122" t="s">
        <v>29</v>
      </c>
      <c r="E1122">
        <v>18447.16</v>
      </c>
      <c r="AX1122">
        <v>2.5299999999999998</v>
      </c>
      <c r="AY1122">
        <v>1.93</v>
      </c>
      <c r="AZ1122" t="s">
        <v>30</v>
      </c>
      <c r="BA1122" t="s">
        <v>31</v>
      </c>
      <c r="BB1122">
        <v>18447.16</v>
      </c>
      <c r="BC1122">
        <v>18447.16</v>
      </c>
      <c r="BD1122">
        <v>18447.16</v>
      </c>
      <c r="BE1122">
        <v>18447.16</v>
      </c>
      <c r="BF1122">
        <v>8908.2199999999993</v>
      </c>
      <c r="BG1122">
        <v>4713.1499999999996</v>
      </c>
      <c r="BH1122">
        <v>3538.89</v>
      </c>
      <c r="BI1122">
        <v>0</v>
      </c>
      <c r="BJ1122">
        <v>0</v>
      </c>
      <c r="BK1122">
        <v>2716.9</v>
      </c>
      <c r="BL1122">
        <v>6326.52</v>
      </c>
      <c r="BM1122">
        <v>1151.7</v>
      </c>
      <c r="BN1122">
        <v>17391.919999999998</v>
      </c>
      <c r="BP1122" s="3">
        <v>45674</v>
      </c>
      <c r="BQ1122">
        <v>17391.919999999998</v>
      </c>
      <c r="BR1122" s="3">
        <v>45215</v>
      </c>
      <c r="BS1122" t="s">
        <v>1268</v>
      </c>
    </row>
    <row r="1123" spans="1:71" x14ac:dyDescent="0.25">
      <c r="A1123" t="s">
        <v>1269</v>
      </c>
      <c r="B1123" t="s">
        <v>364</v>
      </c>
      <c r="C1123" s="2">
        <f>HYPERLINK("https://szao.dolgi.msk.ru/account/3470499532/", 3470499532)</f>
        <v>3470499532</v>
      </c>
      <c r="D1123" t="s">
        <v>29</v>
      </c>
      <c r="E1123">
        <v>37988.36</v>
      </c>
      <c r="AX1123">
        <v>3.74</v>
      </c>
      <c r="AY1123">
        <v>3.77</v>
      </c>
      <c r="AZ1123" t="s">
        <v>69</v>
      </c>
      <c r="BA1123" t="s">
        <v>49</v>
      </c>
      <c r="BB1123">
        <v>37988.36</v>
      </c>
      <c r="BC1123">
        <v>37988.36</v>
      </c>
      <c r="BD1123">
        <v>37988.36</v>
      </c>
      <c r="BE1123">
        <v>37988.36</v>
      </c>
      <c r="BF1123">
        <v>27916.78</v>
      </c>
      <c r="BG1123">
        <v>8188.67</v>
      </c>
      <c r="BH1123">
        <v>2451.8000000000002</v>
      </c>
      <c r="BI1123">
        <v>5520.84</v>
      </c>
      <c r="BJ1123">
        <v>1554.8</v>
      </c>
      <c r="BK1123">
        <v>3075.97</v>
      </c>
      <c r="BL1123">
        <v>15051.32</v>
      </c>
      <c r="BM1123">
        <v>2144.96</v>
      </c>
      <c r="BP1123" s="3">
        <v>45590</v>
      </c>
      <c r="BQ1123">
        <v>26230.98</v>
      </c>
    </row>
    <row r="1124" spans="1:71" x14ac:dyDescent="0.25">
      <c r="A1124" t="s">
        <v>1269</v>
      </c>
      <c r="B1124" t="s">
        <v>385</v>
      </c>
      <c r="C1124" s="2">
        <f>HYPERLINK("https://szao.dolgi.msk.ru/account/3470502148/", 3470502148)</f>
        <v>3470502148</v>
      </c>
      <c r="D1124" t="s">
        <v>29</v>
      </c>
      <c r="E1124">
        <v>194928.89</v>
      </c>
      <c r="AX1124">
        <v>31.56</v>
      </c>
      <c r="AY1124">
        <v>28.56</v>
      </c>
      <c r="AZ1124" t="s">
        <v>56</v>
      </c>
      <c r="BA1124" t="s">
        <v>36</v>
      </c>
      <c r="BB1124">
        <v>194928.89</v>
      </c>
      <c r="BC1124">
        <v>194928.89</v>
      </c>
      <c r="BD1124">
        <v>194928.89</v>
      </c>
      <c r="BE1124">
        <v>194928.89</v>
      </c>
      <c r="BF1124">
        <v>188103.61</v>
      </c>
      <c r="BG1124">
        <v>50677.36</v>
      </c>
      <c r="BH1124">
        <v>0</v>
      </c>
      <c r="BI1124">
        <v>0</v>
      </c>
      <c r="BJ1124">
        <v>0</v>
      </c>
      <c r="BK1124">
        <v>0</v>
      </c>
      <c r="BL1124">
        <v>124408.79</v>
      </c>
      <c r="BM1124">
        <v>19842.740000000002</v>
      </c>
      <c r="BP1124" s="3">
        <v>45169</v>
      </c>
      <c r="BQ1124">
        <v>20797.560000000001</v>
      </c>
    </row>
    <row r="1125" spans="1:71" x14ac:dyDescent="0.25">
      <c r="A1125" t="s">
        <v>1269</v>
      </c>
      <c r="B1125" t="s">
        <v>550</v>
      </c>
      <c r="C1125" s="2">
        <f>HYPERLINK("https://szao.dolgi.msk.ru/account/3470529674/", 3470529674)</f>
        <v>3470529674</v>
      </c>
      <c r="D1125" t="s">
        <v>29</v>
      </c>
      <c r="E1125">
        <v>33748.74</v>
      </c>
      <c r="AX1125">
        <v>12.58</v>
      </c>
      <c r="AY1125">
        <v>13.39</v>
      </c>
      <c r="AZ1125" t="s">
        <v>35</v>
      </c>
      <c r="BA1125" t="s">
        <v>36</v>
      </c>
      <c r="BB1125">
        <v>33748.74</v>
      </c>
      <c r="BC1125">
        <v>33748.74</v>
      </c>
      <c r="BD1125">
        <v>37150.79</v>
      </c>
      <c r="BE1125">
        <v>37150.79</v>
      </c>
      <c r="BF1125">
        <v>31677.27</v>
      </c>
      <c r="BG1125">
        <v>16095.42</v>
      </c>
      <c r="BH1125">
        <v>1237.81</v>
      </c>
      <c r="BI1125">
        <v>-613.47</v>
      </c>
      <c r="BJ1125">
        <v>143.41999999999999</v>
      </c>
      <c r="BK1125">
        <v>-2788.58</v>
      </c>
      <c r="BL1125">
        <v>14631.61</v>
      </c>
      <c r="BM1125">
        <v>5042.53</v>
      </c>
      <c r="BO1125">
        <v>2519.9299999999998</v>
      </c>
      <c r="BP1125" s="3">
        <v>45684</v>
      </c>
      <c r="BQ1125">
        <v>2519.9299999999998</v>
      </c>
      <c r="BR1125" s="3">
        <v>45390</v>
      </c>
      <c r="BS1125" t="s">
        <v>1270</v>
      </c>
    </row>
    <row r="1126" spans="1:71" x14ac:dyDescent="0.25">
      <c r="A1126" t="s">
        <v>1269</v>
      </c>
      <c r="B1126" t="s">
        <v>95</v>
      </c>
      <c r="C1126" s="2">
        <f>HYPERLINK("https://szao.dolgi.msk.ru/account/3470529826/", 3470529826)</f>
        <v>3470529826</v>
      </c>
      <c r="D1126" t="s">
        <v>29</v>
      </c>
      <c r="E1126">
        <v>268680.90999999997</v>
      </c>
      <c r="AX1126">
        <v>39.03</v>
      </c>
      <c r="AY1126">
        <v>39.26</v>
      </c>
      <c r="AZ1126" t="s">
        <v>56</v>
      </c>
      <c r="BA1126" t="s">
        <v>36</v>
      </c>
      <c r="BB1126">
        <v>268680.90999999997</v>
      </c>
      <c r="BC1126">
        <v>268680.90999999997</v>
      </c>
      <c r="BD1126">
        <v>268680.90999999997</v>
      </c>
      <c r="BE1126">
        <v>268680.90999999997</v>
      </c>
      <c r="BF1126">
        <v>261837.07</v>
      </c>
      <c r="BG1126">
        <v>87650.69</v>
      </c>
      <c r="BH1126">
        <v>0</v>
      </c>
      <c r="BI1126">
        <v>0</v>
      </c>
      <c r="BJ1126">
        <v>0</v>
      </c>
      <c r="BK1126">
        <v>0</v>
      </c>
      <c r="BL1126">
        <v>161133.53</v>
      </c>
      <c r="BM1126">
        <v>19896.689999999999</v>
      </c>
      <c r="BP1126" s="3">
        <v>44069</v>
      </c>
      <c r="BQ1126">
        <v>5182.62</v>
      </c>
    </row>
    <row r="1127" spans="1:71" x14ac:dyDescent="0.25">
      <c r="A1127" t="s">
        <v>1269</v>
      </c>
      <c r="B1127" t="s">
        <v>225</v>
      </c>
      <c r="C1127" s="2">
        <f>HYPERLINK("https://szao.dolgi.msk.ru/account/3470529842/", 3470529842)</f>
        <v>3470529842</v>
      </c>
      <c r="D1127" t="s">
        <v>29</v>
      </c>
      <c r="E1127">
        <v>323550.09000000003</v>
      </c>
      <c r="AX1127">
        <v>36.31</v>
      </c>
      <c r="AY1127">
        <v>36.36</v>
      </c>
      <c r="AZ1127" t="s">
        <v>56</v>
      </c>
      <c r="BA1127" t="s">
        <v>36</v>
      </c>
      <c r="BB1127">
        <v>323550.09000000003</v>
      </c>
      <c r="BC1127">
        <v>323550.09000000003</v>
      </c>
      <c r="BD1127">
        <v>323550.09000000003</v>
      </c>
      <c r="BE1127">
        <v>323550.09000000003</v>
      </c>
      <c r="BF1127">
        <v>314650.73</v>
      </c>
      <c r="BG1127">
        <v>66481.279999999999</v>
      </c>
      <c r="BH1127">
        <v>32307.91</v>
      </c>
      <c r="BI1127">
        <v>42794.3</v>
      </c>
      <c r="BJ1127">
        <v>11351.43</v>
      </c>
      <c r="BK1127">
        <v>33307.4</v>
      </c>
      <c r="BL1127">
        <v>122216.51</v>
      </c>
      <c r="BM1127">
        <v>15091.26</v>
      </c>
      <c r="BP1127" s="3">
        <v>44075</v>
      </c>
      <c r="BQ1127">
        <v>14425.36</v>
      </c>
      <c r="BR1127" s="3">
        <v>45119</v>
      </c>
      <c r="BS1127" t="s">
        <v>1271</v>
      </c>
    </row>
    <row r="1128" spans="1:71" x14ac:dyDescent="0.25">
      <c r="A1128" t="s">
        <v>1269</v>
      </c>
      <c r="B1128" t="s">
        <v>397</v>
      </c>
      <c r="C1128" s="2">
        <f>HYPERLINK("https://szao.dolgi.msk.ru/account/3470529885/", 3470529885)</f>
        <v>3470529885</v>
      </c>
      <c r="D1128" t="s">
        <v>29</v>
      </c>
      <c r="E1128">
        <v>446437.92</v>
      </c>
      <c r="AX1128">
        <v>31.49</v>
      </c>
      <c r="AY1128">
        <v>31.49</v>
      </c>
      <c r="AZ1128" t="s">
        <v>56</v>
      </c>
      <c r="BA1128" t="s">
        <v>36</v>
      </c>
      <c r="BB1128">
        <v>446437.92</v>
      </c>
      <c r="BC1128">
        <v>446437.92</v>
      </c>
      <c r="BD1128">
        <v>446437.92</v>
      </c>
      <c r="BE1128">
        <v>446437.92</v>
      </c>
      <c r="BF1128">
        <v>432260.76</v>
      </c>
      <c r="BG1128">
        <v>75561.960000000006</v>
      </c>
      <c r="BH1128">
        <v>61753.94</v>
      </c>
      <c r="BI1128">
        <v>80952.55</v>
      </c>
      <c r="BJ1128">
        <v>21498.82</v>
      </c>
      <c r="BK1128">
        <v>36473.32</v>
      </c>
      <c r="BL1128">
        <v>150543.65</v>
      </c>
      <c r="BM1128">
        <v>19653.68</v>
      </c>
      <c r="BP1128" s="3">
        <v>44288</v>
      </c>
      <c r="BQ1128">
        <v>77195.58</v>
      </c>
    </row>
    <row r="1129" spans="1:71" x14ac:dyDescent="0.25">
      <c r="A1129" t="s">
        <v>1272</v>
      </c>
      <c r="B1129" t="s">
        <v>313</v>
      </c>
      <c r="C1129" s="2">
        <f>HYPERLINK("https://szao.dolgi.msk.ru/account/3470444064/", 3470444064)</f>
        <v>3470444064</v>
      </c>
      <c r="D1129" t="s">
        <v>29</v>
      </c>
      <c r="E1129">
        <v>19058.77</v>
      </c>
      <c r="AX1129">
        <v>7.25</v>
      </c>
      <c r="AY1129">
        <v>7.24</v>
      </c>
      <c r="AZ1129" t="s">
        <v>45</v>
      </c>
      <c r="BA1129" t="s">
        <v>66</v>
      </c>
      <c r="BB1129">
        <v>19058.77</v>
      </c>
      <c r="BC1129">
        <v>19058.77</v>
      </c>
      <c r="BD1129">
        <v>19058.77</v>
      </c>
      <c r="BE1129">
        <v>19058.77</v>
      </c>
      <c r="BF1129">
        <v>16426.900000000001</v>
      </c>
      <c r="BG1129">
        <v>7181.35</v>
      </c>
      <c r="BH1129">
        <v>0</v>
      </c>
      <c r="BI1129">
        <v>0</v>
      </c>
      <c r="BJ1129">
        <v>0</v>
      </c>
      <c r="BK1129">
        <v>0</v>
      </c>
      <c r="BL1129">
        <v>9927.48</v>
      </c>
      <c r="BM1129">
        <v>1949.94</v>
      </c>
      <c r="BP1129" s="3">
        <v>45482</v>
      </c>
      <c r="BQ1129">
        <v>9418.74</v>
      </c>
    </row>
    <row r="1130" spans="1:71" x14ac:dyDescent="0.25">
      <c r="A1130" t="s">
        <v>1273</v>
      </c>
      <c r="B1130" t="s">
        <v>95</v>
      </c>
      <c r="C1130" s="2">
        <f>HYPERLINK("https://szao.dolgi.msk.ru/account/3470272979/", 3470272979)</f>
        <v>3470272979</v>
      </c>
      <c r="D1130" t="s">
        <v>29</v>
      </c>
      <c r="E1130">
        <v>33044.44</v>
      </c>
      <c r="AX1130">
        <v>2.89</v>
      </c>
      <c r="AY1130">
        <v>2.91</v>
      </c>
      <c r="AZ1130" t="s">
        <v>40</v>
      </c>
      <c r="BA1130" t="s">
        <v>31</v>
      </c>
      <c r="BB1130">
        <v>33044.44</v>
      </c>
      <c r="BC1130">
        <v>33044.44</v>
      </c>
      <c r="BD1130">
        <v>33044.44</v>
      </c>
      <c r="BE1130">
        <v>33044.44</v>
      </c>
      <c r="BF1130">
        <v>21691.64</v>
      </c>
      <c r="BG1130">
        <v>5411.29</v>
      </c>
      <c r="BH1130">
        <v>10613.31</v>
      </c>
      <c r="BI1130">
        <v>0</v>
      </c>
      <c r="BJ1130">
        <v>0</v>
      </c>
      <c r="BK1130">
        <v>8148.12</v>
      </c>
      <c r="BL1130">
        <v>7487.46</v>
      </c>
      <c r="BM1130">
        <v>1384.26</v>
      </c>
      <c r="BP1130" s="3">
        <v>45632</v>
      </c>
      <c r="BQ1130">
        <v>10845.82</v>
      </c>
    </row>
    <row r="1131" spans="1:71" x14ac:dyDescent="0.25">
      <c r="A1131" t="s">
        <v>1274</v>
      </c>
      <c r="B1131" t="s">
        <v>309</v>
      </c>
      <c r="C1131" s="2">
        <f>HYPERLINK("https://szao.dolgi.msk.ru/account/3470300773/", 3470300773)</f>
        <v>3470300773</v>
      </c>
      <c r="D1131" t="s">
        <v>29</v>
      </c>
      <c r="E1131">
        <v>30362.11</v>
      </c>
      <c r="AX1131">
        <v>6.61</v>
      </c>
      <c r="AY1131">
        <v>6.69</v>
      </c>
      <c r="AZ1131" t="s">
        <v>40</v>
      </c>
      <c r="BA1131" t="s">
        <v>66</v>
      </c>
      <c r="BB1131">
        <v>30362.11</v>
      </c>
      <c r="BC1131">
        <v>30362.11</v>
      </c>
      <c r="BD1131">
        <v>30362.11</v>
      </c>
      <c r="BE1131">
        <v>30362.11</v>
      </c>
      <c r="BF1131">
        <v>26824.53</v>
      </c>
      <c r="BG1131">
        <v>6848.36</v>
      </c>
      <c r="BH1131">
        <v>2983.61</v>
      </c>
      <c r="BI1131">
        <v>6615.98</v>
      </c>
      <c r="BJ1131">
        <v>1452.72</v>
      </c>
      <c r="BK1131">
        <v>3823.81</v>
      </c>
      <c r="BL1131">
        <v>7173.88</v>
      </c>
      <c r="BM1131">
        <v>1463.75</v>
      </c>
      <c r="BN1131">
        <v>4845.12</v>
      </c>
      <c r="BO1131">
        <v>0.12</v>
      </c>
      <c r="BP1131" s="3">
        <v>45696</v>
      </c>
      <c r="BQ1131">
        <v>1000</v>
      </c>
      <c r="BR1131" s="3">
        <v>45637</v>
      </c>
      <c r="BS1131" t="s">
        <v>1275</v>
      </c>
    </row>
    <row r="1132" spans="1:71" x14ac:dyDescent="0.25">
      <c r="A1132" t="s">
        <v>1274</v>
      </c>
      <c r="B1132" t="s">
        <v>296</v>
      </c>
      <c r="C1132" s="2">
        <f>HYPERLINK("https://szao.dolgi.msk.ru/account/3470273437/", 3470273437)</f>
        <v>3470273437</v>
      </c>
      <c r="D1132" t="s">
        <v>29</v>
      </c>
      <c r="E1132">
        <v>298593.91999999998</v>
      </c>
      <c r="AX1132">
        <v>11.38</v>
      </c>
      <c r="AY1132">
        <v>11.32</v>
      </c>
      <c r="AZ1132" t="s">
        <v>45</v>
      </c>
      <c r="BA1132" t="s">
        <v>63</v>
      </c>
      <c r="BB1132">
        <v>298593.91999999998</v>
      </c>
      <c r="BC1132">
        <v>264960.21999999997</v>
      </c>
      <c r="BD1132">
        <v>298593.91999999998</v>
      </c>
      <c r="BE1132">
        <v>264960.21999999997</v>
      </c>
      <c r="BF1132">
        <v>272224.46000000002</v>
      </c>
      <c r="BG1132">
        <v>25392.91</v>
      </c>
      <c r="BH1132">
        <v>41066.94</v>
      </c>
      <c r="BI1132">
        <v>106366.49</v>
      </c>
      <c r="BJ1132">
        <v>29088.66</v>
      </c>
      <c r="BK1132">
        <v>54414.18</v>
      </c>
      <c r="BL1132">
        <v>35271.949999999997</v>
      </c>
      <c r="BM1132">
        <v>6992.79</v>
      </c>
      <c r="BP1132" s="3">
        <v>45467</v>
      </c>
      <c r="BQ1132">
        <v>87226.1</v>
      </c>
      <c r="BR1132" s="3">
        <v>45638</v>
      </c>
      <c r="BS1132" t="s">
        <v>1276</v>
      </c>
    </row>
    <row r="1133" spans="1:71" x14ac:dyDescent="0.25">
      <c r="A1133" t="s">
        <v>1274</v>
      </c>
      <c r="B1133" t="s">
        <v>552</v>
      </c>
      <c r="C1133" s="2">
        <f>HYPERLINK("https://szao.dolgi.msk.ru/account/3470273808/", 3470273808)</f>
        <v>3470273808</v>
      </c>
      <c r="D1133" t="s">
        <v>29</v>
      </c>
      <c r="E1133">
        <v>67481.399999999994</v>
      </c>
      <c r="AX1133">
        <v>9.08</v>
      </c>
      <c r="AY1133">
        <v>9.35</v>
      </c>
      <c r="AZ1133" t="s">
        <v>69</v>
      </c>
      <c r="BA1133" t="s">
        <v>63</v>
      </c>
      <c r="BB1133">
        <v>67481.399999999994</v>
      </c>
      <c r="BC1133">
        <v>67481.399999999994</v>
      </c>
      <c r="BD1133">
        <v>67493.94</v>
      </c>
      <c r="BE1133">
        <v>67493.94</v>
      </c>
      <c r="BF1133">
        <v>60261.96</v>
      </c>
      <c r="BG1133">
        <v>22137.14</v>
      </c>
      <c r="BH1133">
        <v>4291.53</v>
      </c>
      <c r="BI1133">
        <v>-9.9600000000000009</v>
      </c>
      <c r="BJ1133">
        <v>-2.58</v>
      </c>
      <c r="BK1133">
        <v>3367.4</v>
      </c>
      <c r="BL1133">
        <v>31433.84</v>
      </c>
      <c r="BM1133">
        <v>6264.03</v>
      </c>
      <c r="BP1133" s="3">
        <v>45597</v>
      </c>
      <c r="BQ1133">
        <v>9784.86</v>
      </c>
      <c r="BR1133" s="3">
        <v>45569</v>
      </c>
      <c r="BS1133" t="s">
        <v>1277</v>
      </c>
    </row>
    <row r="1134" spans="1:71" x14ac:dyDescent="0.25">
      <c r="A1134" t="s">
        <v>1274</v>
      </c>
      <c r="B1134" t="s">
        <v>627</v>
      </c>
      <c r="C1134" s="2">
        <f>HYPERLINK("https://szao.dolgi.msk.ru/account/3470300888/", 3470300888)</f>
        <v>3470300888</v>
      </c>
      <c r="D1134" t="s">
        <v>29</v>
      </c>
      <c r="E1134">
        <v>32242.85</v>
      </c>
      <c r="AX1134">
        <v>4.7300000000000004</v>
      </c>
      <c r="AY1134">
        <v>1.96</v>
      </c>
      <c r="AZ1134" t="s">
        <v>56</v>
      </c>
      <c r="BA1134" t="s">
        <v>49</v>
      </c>
      <c r="BB1134">
        <v>32242.85</v>
      </c>
      <c r="BC1134">
        <v>32242.85</v>
      </c>
      <c r="BD1134">
        <v>48724.17</v>
      </c>
      <c r="BE1134">
        <v>48724.17</v>
      </c>
      <c r="BF1134">
        <v>15761.88</v>
      </c>
      <c r="BG1134">
        <v>-9235.44</v>
      </c>
      <c r="BH1134">
        <v>3791.75</v>
      </c>
      <c r="BI1134">
        <v>33979.51</v>
      </c>
      <c r="BJ1134">
        <v>-114.91</v>
      </c>
      <c r="BK1134">
        <v>6678.96</v>
      </c>
      <c r="BL1134">
        <v>-7130.97</v>
      </c>
      <c r="BM1134">
        <v>4273.95</v>
      </c>
      <c r="BP1134" s="3">
        <v>45314</v>
      </c>
      <c r="BQ1134">
        <v>0</v>
      </c>
      <c r="BR1134" s="3">
        <v>45310</v>
      </c>
      <c r="BS1134" t="s">
        <v>1278</v>
      </c>
    </row>
    <row r="1135" spans="1:71" x14ac:dyDescent="0.25">
      <c r="A1135" t="s">
        <v>1274</v>
      </c>
      <c r="B1135" t="s">
        <v>627</v>
      </c>
      <c r="C1135" s="2">
        <f>HYPERLINK("https://szao.dolgi.msk.ru/account/3470301223/", 3470301223)</f>
        <v>3470301223</v>
      </c>
      <c r="D1135" t="s">
        <v>29</v>
      </c>
      <c r="E1135">
        <v>33834.44</v>
      </c>
      <c r="AX1135">
        <v>19.690000000000001</v>
      </c>
      <c r="AY1135">
        <v>18.809999999999999</v>
      </c>
      <c r="AZ1135" t="s">
        <v>56</v>
      </c>
      <c r="BA1135" t="s">
        <v>36</v>
      </c>
      <c r="BB1135">
        <v>33834.44</v>
      </c>
      <c r="BC1135">
        <v>33834.44</v>
      </c>
      <c r="BD1135">
        <v>37368.6</v>
      </c>
      <c r="BE1135">
        <v>37368.6</v>
      </c>
      <c r="BF1135">
        <v>32035.279999999999</v>
      </c>
      <c r="BG1135">
        <v>13594.74</v>
      </c>
      <c r="BH1135">
        <v>335.25</v>
      </c>
      <c r="BI1135">
        <v>-2652.88</v>
      </c>
      <c r="BJ1135">
        <v>-687.66</v>
      </c>
      <c r="BK1135">
        <v>-193.62</v>
      </c>
      <c r="BL1135">
        <v>19487.84</v>
      </c>
      <c r="BM1135">
        <v>3950.77</v>
      </c>
      <c r="BP1135" s="3">
        <v>45008</v>
      </c>
      <c r="BQ1135">
        <v>8536.9500000000007</v>
      </c>
    </row>
    <row r="1136" spans="1:71" x14ac:dyDescent="0.25">
      <c r="A1136" t="s">
        <v>1279</v>
      </c>
      <c r="B1136" t="s">
        <v>311</v>
      </c>
      <c r="C1136" s="2">
        <f>HYPERLINK("https://szao.dolgi.msk.ru/account/3470274632/", 3470274632)</f>
        <v>3470274632</v>
      </c>
      <c r="D1136" t="s">
        <v>29</v>
      </c>
      <c r="E1136">
        <v>86024.79</v>
      </c>
      <c r="AX1136">
        <v>12.19</v>
      </c>
      <c r="AY1136">
        <v>8.1199999999999992</v>
      </c>
      <c r="AZ1136" t="s">
        <v>35</v>
      </c>
      <c r="BA1136" t="s">
        <v>36</v>
      </c>
      <c r="BB1136">
        <v>86024.79</v>
      </c>
      <c r="BC1136">
        <v>86024.79</v>
      </c>
      <c r="BD1136">
        <v>86024.79</v>
      </c>
      <c r="BE1136">
        <v>86024.79</v>
      </c>
      <c r="BF1136">
        <v>75428.08</v>
      </c>
      <c r="BG1136">
        <v>33055.97</v>
      </c>
      <c r="BH1136">
        <v>4607.76</v>
      </c>
      <c r="BI1136">
        <v>0</v>
      </c>
      <c r="BJ1136">
        <v>6817.07</v>
      </c>
      <c r="BK1136">
        <v>3611.85</v>
      </c>
      <c r="BL1136">
        <v>31742.51</v>
      </c>
      <c r="BM1136">
        <v>6189.63</v>
      </c>
      <c r="BO1136">
        <v>10596.71</v>
      </c>
      <c r="BP1136" s="3">
        <v>45674</v>
      </c>
      <c r="BQ1136">
        <v>10596.71</v>
      </c>
      <c r="BR1136" s="3">
        <v>45244</v>
      </c>
      <c r="BS1136" t="s">
        <v>1280</v>
      </c>
    </row>
    <row r="1137" spans="1:71" x14ac:dyDescent="0.25">
      <c r="A1137" t="s">
        <v>1279</v>
      </c>
      <c r="B1137" t="s">
        <v>95</v>
      </c>
      <c r="C1137" s="2">
        <f>HYPERLINK("https://szao.dolgi.msk.ru/account/3470274843/", 3470274843)</f>
        <v>3470274843</v>
      </c>
      <c r="D1137" t="s">
        <v>29</v>
      </c>
      <c r="E1137">
        <v>196518.24</v>
      </c>
      <c r="AX1137">
        <v>29.3</v>
      </c>
      <c r="AY1137">
        <v>27.31</v>
      </c>
      <c r="AZ1137" t="s">
        <v>45</v>
      </c>
      <c r="BA1137" t="s">
        <v>36</v>
      </c>
      <c r="BB1137">
        <v>196518.24</v>
      </c>
      <c r="BC1137">
        <v>196518.24</v>
      </c>
      <c r="BD1137">
        <v>196518.24</v>
      </c>
      <c r="BE1137">
        <v>196518.24</v>
      </c>
      <c r="BF1137">
        <v>189323.05</v>
      </c>
      <c r="BG1137">
        <v>57788.69</v>
      </c>
      <c r="BH1137">
        <v>18109.25</v>
      </c>
      <c r="BI1137">
        <v>27714.48</v>
      </c>
      <c r="BJ1137">
        <v>9806.98</v>
      </c>
      <c r="BK1137">
        <v>8752.0499999999993</v>
      </c>
      <c r="BL1137">
        <v>59633.39</v>
      </c>
      <c r="BM1137">
        <v>14713.4</v>
      </c>
      <c r="BP1137" s="3">
        <v>45378</v>
      </c>
      <c r="BQ1137">
        <v>0</v>
      </c>
      <c r="BR1137" s="3">
        <v>45638</v>
      </c>
      <c r="BS1137" t="s">
        <v>1281</v>
      </c>
    </row>
    <row r="1138" spans="1:71" x14ac:dyDescent="0.25">
      <c r="A1138" t="s">
        <v>1279</v>
      </c>
      <c r="B1138" t="s">
        <v>552</v>
      </c>
      <c r="C1138" s="2">
        <f>HYPERLINK("https://szao.dolgi.msk.ru/account/3470274907/", 3470274907)</f>
        <v>3470274907</v>
      </c>
      <c r="D1138" t="s">
        <v>29</v>
      </c>
      <c r="E1138">
        <v>15293.03</v>
      </c>
      <c r="AX1138">
        <v>2.12</v>
      </c>
      <c r="AY1138">
        <v>2.2400000000000002</v>
      </c>
      <c r="AZ1138" t="s">
        <v>40</v>
      </c>
      <c r="BA1138" t="s">
        <v>31</v>
      </c>
      <c r="BB1138">
        <v>15293.03</v>
      </c>
      <c r="BC1138">
        <v>15293.03</v>
      </c>
      <c r="BD1138">
        <v>15293.03</v>
      </c>
      <c r="BE1138">
        <v>15293.03</v>
      </c>
      <c r="BF1138">
        <v>8472.7099999999991</v>
      </c>
      <c r="BG1138">
        <v>4263.53</v>
      </c>
      <c r="BH1138">
        <v>352.18</v>
      </c>
      <c r="BI1138">
        <v>2478.65</v>
      </c>
      <c r="BJ1138">
        <v>537.95000000000005</v>
      </c>
      <c r="BK1138">
        <v>1247.3599999999999</v>
      </c>
      <c r="BL1138">
        <v>5327.74</v>
      </c>
      <c r="BM1138">
        <v>1085.6199999999999</v>
      </c>
      <c r="BP1138" s="3">
        <v>45667</v>
      </c>
      <c r="BQ1138">
        <v>6222.27</v>
      </c>
      <c r="BR1138" s="3">
        <v>45624</v>
      </c>
      <c r="BS1138" t="s">
        <v>1282</v>
      </c>
    </row>
    <row r="1139" spans="1:71" x14ac:dyDescent="0.25">
      <c r="A1139" t="s">
        <v>1279</v>
      </c>
      <c r="B1139" t="s">
        <v>85</v>
      </c>
      <c r="C1139" s="2">
        <f>HYPERLINK("https://szao.dolgi.msk.ru/account/3470274931/", 3470274931)</f>
        <v>3470274931</v>
      </c>
      <c r="D1139" t="s">
        <v>29</v>
      </c>
      <c r="E1139">
        <v>32036.39</v>
      </c>
      <c r="AX1139">
        <v>3.84</v>
      </c>
      <c r="AY1139">
        <v>3.9</v>
      </c>
      <c r="AZ1139" t="s">
        <v>69</v>
      </c>
      <c r="BA1139" t="s">
        <v>49</v>
      </c>
      <c r="BB1139">
        <v>32036.39</v>
      </c>
      <c r="BC1139">
        <v>32036.39</v>
      </c>
      <c r="BD1139">
        <v>32036.39</v>
      </c>
      <c r="BE1139">
        <v>32036.39</v>
      </c>
      <c r="BF1139">
        <v>23820.03</v>
      </c>
      <c r="BG1139">
        <v>8423.91</v>
      </c>
      <c r="BH1139">
        <v>2588.0100000000002</v>
      </c>
      <c r="BI1139">
        <v>3668.76</v>
      </c>
      <c r="BJ1139">
        <v>1033.21</v>
      </c>
      <c r="BK1139">
        <v>2780.1</v>
      </c>
      <c r="BL1139">
        <v>11335.8</v>
      </c>
      <c r="BM1139">
        <v>2206.6</v>
      </c>
      <c r="BP1139" s="3">
        <v>45580</v>
      </c>
      <c r="BQ1139">
        <v>31531.75</v>
      </c>
    </row>
    <row r="1140" spans="1:71" x14ac:dyDescent="0.25">
      <c r="A1140" t="s">
        <v>1283</v>
      </c>
      <c r="B1140" t="s">
        <v>52</v>
      </c>
      <c r="C1140" s="2">
        <f>HYPERLINK("https://szao.dolgi.msk.ru/account/3470275918/", 3470275918)</f>
        <v>3470275918</v>
      </c>
      <c r="D1140" t="s">
        <v>29</v>
      </c>
      <c r="E1140">
        <v>15269.41</v>
      </c>
      <c r="AX1140">
        <v>2.57</v>
      </c>
      <c r="AY1140">
        <v>2.54</v>
      </c>
      <c r="AZ1140" t="s">
        <v>40</v>
      </c>
      <c r="BA1140" t="s">
        <v>31</v>
      </c>
      <c r="BB1140">
        <v>15269.41</v>
      </c>
      <c r="BC1140">
        <v>15269.41</v>
      </c>
      <c r="BD1140">
        <v>15269.41</v>
      </c>
      <c r="BE1140">
        <v>15269.41</v>
      </c>
      <c r="BF1140">
        <v>9263.23</v>
      </c>
      <c r="BG1140">
        <v>3776.84</v>
      </c>
      <c r="BH1140">
        <v>1619.49</v>
      </c>
      <c r="BI1140">
        <v>2662.97</v>
      </c>
      <c r="BJ1140">
        <v>749.96</v>
      </c>
      <c r="BK1140">
        <v>1819.09</v>
      </c>
      <c r="BL1140">
        <v>3925.83</v>
      </c>
      <c r="BM1140">
        <v>715.23</v>
      </c>
      <c r="BP1140" s="3">
        <v>45643</v>
      </c>
      <c r="BQ1140">
        <v>3990.06</v>
      </c>
    </row>
    <row r="1141" spans="1:71" x14ac:dyDescent="0.25">
      <c r="A1141" t="s">
        <v>1283</v>
      </c>
      <c r="B1141" t="s">
        <v>100</v>
      </c>
      <c r="C1141" s="2">
        <f>HYPERLINK("https://szao.dolgi.msk.ru/account/3470275432/", 3470275432)</f>
        <v>3470275432</v>
      </c>
      <c r="D1141" t="s">
        <v>29</v>
      </c>
      <c r="E1141">
        <v>29594.22</v>
      </c>
      <c r="AX1141">
        <v>14.62</v>
      </c>
      <c r="AY1141">
        <v>16.760000000000002</v>
      </c>
      <c r="AZ1141" t="s">
        <v>40</v>
      </c>
      <c r="BA1141" t="s">
        <v>36</v>
      </c>
      <c r="BB1141">
        <v>29594.22</v>
      </c>
      <c r="BC1141">
        <v>29594.22</v>
      </c>
      <c r="BD1141">
        <v>29594.22</v>
      </c>
      <c r="BE1141">
        <v>29594.22</v>
      </c>
      <c r="BF1141">
        <v>27828.05</v>
      </c>
      <c r="BG1141">
        <v>9524.52</v>
      </c>
      <c r="BH1141">
        <v>3268.77</v>
      </c>
      <c r="BI1141">
        <v>2289.4699999999998</v>
      </c>
      <c r="BJ1141">
        <v>951.82</v>
      </c>
      <c r="BK1141">
        <v>3179.05</v>
      </c>
      <c r="BL1141">
        <v>8374.3700000000008</v>
      </c>
      <c r="BM1141">
        <v>2006.22</v>
      </c>
      <c r="BP1141" s="3">
        <v>45645</v>
      </c>
      <c r="BQ1141">
        <v>0</v>
      </c>
      <c r="BR1141" s="3">
        <v>45231</v>
      </c>
      <c r="BS1141" t="s">
        <v>1284</v>
      </c>
    </row>
    <row r="1142" spans="1:71" x14ac:dyDescent="0.25">
      <c r="A1142" t="s">
        <v>1283</v>
      </c>
      <c r="B1142" t="s">
        <v>364</v>
      </c>
      <c r="C1142" s="2">
        <f>HYPERLINK("https://szao.dolgi.msk.ru/account/3470275459/", 3470275459)</f>
        <v>3470275459</v>
      </c>
      <c r="D1142" t="s">
        <v>29</v>
      </c>
      <c r="E1142">
        <v>7378.2</v>
      </c>
      <c r="AX1142">
        <v>2.17</v>
      </c>
      <c r="AY1142">
        <v>2</v>
      </c>
      <c r="AZ1142" t="s">
        <v>30</v>
      </c>
      <c r="BA1142" t="s">
        <v>31</v>
      </c>
      <c r="BB1142">
        <v>7378.2</v>
      </c>
      <c r="BC1142">
        <v>7378.2</v>
      </c>
      <c r="BD1142">
        <v>7378.2</v>
      </c>
      <c r="BE1142">
        <v>7378.2</v>
      </c>
      <c r="BF1142">
        <v>3770.52</v>
      </c>
      <c r="BG1142">
        <v>3511.98</v>
      </c>
      <c r="BH1142">
        <v>108.33</v>
      </c>
      <c r="BI1142">
        <v>200.9</v>
      </c>
      <c r="BJ1142">
        <v>56.98</v>
      </c>
      <c r="BK1142">
        <v>98.06</v>
      </c>
      <c r="BL1142">
        <v>2780.05</v>
      </c>
      <c r="BM1142">
        <v>621.9</v>
      </c>
      <c r="BP1142" s="3">
        <v>45667</v>
      </c>
      <c r="BQ1142">
        <v>6551.71</v>
      </c>
    </row>
    <row r="1143" spans="1:71" x14ac:dyDescent="0.25">
      <c r="A1143" t="s">
        <v>1285</v>
      </c>
      <c r="B1143" t="s">
        <v>136</v>
      </c>
      <c r="C1143" s="2">
        <f>HYPERLINK("https://szao.dolgi.msk.ru/account/3470277112/", 3470277112)</f>
        <v>3470277112</v>
      </c>
      <c r="D1143" t="s">
        <v>29</v>
      </c>
      <c r="E1143">
        <v>89211.92</v>
      </c>
      <c r="AX1143">
        <v>15.22</v>
      </c>
      <c r="AY1143">
        <v>14.3</v>
      </c>
      <c r="AZ1143" t="s">
        <v>45</v>
      </c>
      <c r="BA1143" t="s">
        <v>36</v>
      </c>
      <c r="BB1143">
        <v>89211.92</v>
      </c>
      <c r="BC1143">
        <v>89211.92</v>
      </c>
      <c r="BD1143">
        <v>89211.92</v>
      </c>
      <c r="BE1143">
        <v>89211.92</v>
      </c>
      <c r="BF1143">
        <v>82972.28</v>
      </c>
      <c r="BG1143">
        <v>15655.44</v>
      </c>
      <c r="BH1143">
        <v>10153.450000000001</v>
      </c>
      <c r="BI1143">
        <v>0</v>
      </c>
      <c r="BJ1143">
        <v>0</v>
      </c>
      <c r="BK1143">
        <v>7897.89</v>
      </c>
      <c r="BL1143">
        <v>46046.67</v>
      </c>
      <c r="BM1143">
        <v>9458.4699999999993</v>
      </c>
      <c r="BP1143" s="3">
        <v>45406</v>
      </c>
      <c r="BQ1143">
        <v>4858.74</v>
      </c>
      <c r="BR1143" s="3">
        <v>45699</v>
      </c>
      <c r="BS1143" t="s">
        <v>1286</v>
      </c>
    </row>
    <row r="1144" spans="1:71" x14ac:dyDescent="0.25">
      <c r="A1144" t="s">
        <v>1285</v>
      </c>
      <c r="B1144" t="s">
        <v>95</v>
      </c>
      <c r="C1144" s="2">
        <f>HYPERLINK("https://szao.dolgi.msk.ru/account/3470298319/", 3470298319)</f>
        <v>3470298319</v>
      </c>
      <c r="D1144" t="s">
        <v>29</v>
      </c>
      <c r="E1144">
        <v>20650</v>
      </c>
      <c r="AX1144">
        <v>9.94</v>
      </c>
      <c r="AY1144">
        <v>10.66</v>
      </c>
      <c r="AZ1144" t="s">
        <v>40</v>
      </c>
      <c r="BA1144" t="s">
        <v>63</v>
      </c>
      <c r="BB1144">
        <v>20650</v>
      </c>
      <c r="BC1144">
        <v>20650</v>
      </c>
      <c r="BD1144">
        <v>20650</v>
      </c>
      <c r="BE1144">
        <v>20650</v>
      </c>
      <c r="BF1144">
        <v>18712.61</v>
      </c>
      <c r="BG1144">
        <v>6250.21</v>
      </c>
      <c r="BH1144">
        <v>3177.64</v>
      </c>
      <c r="BI1144">
        <v>0</v>
      </c>
      <c r="BJ1144">
        <v>0</v>
      </c>
      <c r="BK1144">
        <v>1732.94</v>
      </c>
      <c r="BL1144">
        <v>7724.86</v>
      </c>
      <c r="BM1144">
        <v>1764.35</v>
      </c>
      <c r="BP1144" s="3">
        <v>45650</v>
      </c>
      <c r="BQ1144">
        <v>781.52</v>
      </c>
      <c r="BR1144" s="3">
        <v>45588</v>
      </c>
      <c r="BS1144" t="s">
        <v>1287</v>
      </c>
    </row>
    <row r="1145" spans="1:71" x14ac:dyDescent="0.25">
      <c r="A1145" t="s">
        <v>1285</v>
      </c>
      <c r="B1145" t="s">
        <v>245</v>
      </c>
      <c r="C1145" s="2">
        <f>HYPERLINK("https://szao.dolgi.msk.ru/account/3470298351/", 3470298351)</f>
        <v>3470298351</v>
      </c>
      <c r="D1145" t="s">
        <v>29</v>
      </c>
      <c r="E1145">
        <v>31388.85</v>
      </c>
      <c r="AX1145">
        <v>3.77</v>
      </c>
      <c r="AY1145">
        <v>3.8</v>
      </c>
      <c r="AZ1145" t="s">
        <v>69</v>
      </c>
      <c r="BA1145" t="s">
        <v>49</v>
      </c>
      <c r="BB1145">
        <v>31388.85</v>
      </c>
      <c r="BC1145">
        <v>31388.85</v>
      </c>
      <c r="BD1145">
        <v>31388.85</v>
      </c>
      <c r="BE1145">
        <v>31388.85</v>
      </c>
      <c r="BF1145">
        <v>23130.71</v>
      </c>
      <c r="BG1145">
        <v>8748.77</v>
      </c>
      <c r="BH1145">
        <v>4628.7</v>
      </c>
      <c r="BI1145">
        <v>0</v>
      </c>
      <c r="BJ1145">
        <v>0</v>
      </c>
      <c r="BK1145">
        <v>3553.58</v>
      </c>
      <c r="BL1145">
        <v>12166.12</v>
      </c>
      <c r="BM1145">
        <v>2291.6799999999998</v>
      </c>
      <c r="BP1145" s="3">
        <v>45575</v>
      </c>
      <c r="BQ1145">
        <v>15638.14</v>
      </c>
      <c r="BR1145" s="3">
        <v>44851</v>
      </c>
      <c r="BS1145" t="s">
        <v>1288</v>
      </c>
    </row>
    <row r="1146" spans="1:71" x14ac:dyDescent="0.25">
      <c r="A1146" t="s">
        <v>1285</v>
      </c>
      <c r="B1146" t="s">
        <v>354</v>
      </c>
      <c r="C1146" s="2">
        <f>HYPERLINK("https://szao.dolgi.msk.ru/account/3470298394/", 3470298394)</f>
        <v>3470298394</v>
      </c>
      <c r="D1146" t="s">
        <v>29</v>
      </c>
      <c r="E1146">
        <v>104985.44</v>
      </c>
      <c r="AX1146">
        <v>52.64</v>
      </c>
      <c r="AY1146">
        <v>45</v>
      </c>
      <c r="AZ1146" t="s">
        <v>56</v>
      </c>
      <c r="BA1146" t="s">
        <v>36</v>
      </c>
      <c r="BB1146">
        <v>104985.44</v>
      </c>
      <c r="BC1146">
        <v>104985.44</v>
      </c>
      <c r="BD1146">
        <v>104985.44</v>
      </c>
      <c r="BE1146">
        <v>104985.44</v>
      </c>
      <c r="BF1146">
        <v>102652.53</v>
      </c>
      <c r="BG1146">
        <v>26899.85</v>
      </c>
      <c r="BH1146">
        <v>21886.1</v>
      </c>
      <c r="BI1146">
        <v>0</v>
      </c>
      <c r="BJ1146">
        <v>0</v>
      </c>
      <c r="BK1146">
        <v>11938.99</v>
      </c>
      <c r="BL1146">
        <v>38018.81</v>
      </c>
      <c r="BM1146">
        <v>6241.69</v>
      </c>
      <c r="BP1146" s="3">
        <v>44316</v>
      </c>
      <c r="BQ1146">
        <v>10731.15</v>
      </c>
      <c r="BR1146" s="3">
        <v>45574</v>
      </c>
      <c r="BS1146" t="s">
        <v>1289</v>
      </c>
    </row>
    <row r="1147" spans="1:71" x14ac:dyDescent="0.25">
      <c r="A1147" t="s">
        <v>1285</v>
      </c>
      <c r="B1147" t="s">
        <v>191</v>
      </c>
      <c r="C1147" s="2">
        <f>HYPERLINK("https://szao.dolgi.msk.ru/account/3470587049/", 3470587049)</f>
        <v>3470587049</v>
      </c>
      <c r="D1147" t="s">
        <v>29</v>
      </c>
      <c r="E1147">
        <v>30612.06</v>
      </c>
      <c r="AX1147">
        <v>16.62</v>
      </c>
      <c r="AY1147">
        <v>16.62</v>
      </c>
      <c r="AZ1147" t="s">
        <v>56</v>
      </c>
      <c r="BA1147" t="s">
        <v>36</v>
      </c>
      <c r="BB1147">
        <v>30612.06</v>
      </c>
      <c r="BC1147">
        <v>30612.06</v>
      </c>
      <c r="BD1147">
        <v>30612.06</v>
      </c>
      <c r="BE1147">
        <v>30612.06</v>
      </c>
      <c r="BF1147">
        <v>28769.64</v>
      </c>
      <c r="BG1147">
        <v>11155.68</v>
      </c>
      <c r="BH1147">
        <v>0</v>
      </c>
      <c r="BI1147">
        <v>0</v>
      </c>
      <c r="BJ1147">
        <v>0</v>
      </c>
      <c r="BK1147">
        <v>0</v>
      </c>
      <c r="BL1147">
        <v>16270.79</v>
      </c>
      <c r="BM1147">
        <v>3185.59</v>
      </c>
      <c r="BP1147" s="3">
        <v>45119</v>
      </c>
      <c r="BQ1147">
        <v>7826.89</v>
      </c>
    </row>
    <row r="1148" spans="1:71" x14ac:dyDescent="0.25">
      <c r="A1148" t="s">
        <v>1290</v>
      </c>
      <c r="B1148" t="s">
        <v>52</v>
      </c>
      <c r="C1148" s="2">
        <f>HYPERLINK("https://szao.dolgi.msk.ru/account/3470278019/", 3470278019)</f>
        <v>3470278019</v>
      </c>
      <c r="D1148" t="s">
        <v>29</v>
      </c>
      <c r="E1148">
        <v>14743.77</v>
      </c>
      <c r="AX1148">
        <v>5.53</v>
      </c>
      <c r="AY1148">
        <v>5.54</v>
      </c>
      <c r="AZ1148" t="s">
        <v>69</v>
      </c>
      <c r="BA1148" t="s">
        <v>49</v>
      </c>
      <c r="BB1148">
        <v>14743.77</v>
      </c>
      <c r="BC1148">
        <v>14743.77</v>
      </c>
      <c r="BD1148">
        <v>14743.77</v>
      </c>
      <c r="BE1148">
        <v>14743.77</v>
      </c>
      <c r="BF1148">
        <v>12084.3</v>
      </c>
      <c r="BG1148">
        <v>4936.41</v>
      </c>
      <c r="BH1148">
        <v>0</v>
      </c>
      <c r="BI1148">
        <v>0</v>
      </c>
      <c r="BJ1148">
        <v>0</v>
      </c>
      <c r="BK1148">
        <v>0</v>
      </c>
      <c r="BL1148">
        <v>8482.5</v>
      </c>
      <c r="BM1148">
        <v>1324.86</v>
      </c>
      <c r="BP1148" s="3">
        <v>45526</v>
      </c>
      <c r="BQ1148">
        <v>7230.09</v>
      </c>
    </row>
    <row r="1149" spans="1:71" x14ac:dyDescent="0.25">
      <c r="A1149" t="s">
        <v>1291</v>
      </c>
      <c r="B1149" t="s">
        <v>136</v>
      </c>
      <c r="C1149" s="2">
        <f>HYPERLINK("https://szao.dolgi.msk.ru/account/3470278879/", 3470278879)</f>
        <v>3470278879</v>
      </c>
      <c r="D1149" t="s">
        <v>29</v>
      </c>
      <c r="E1149">
        <v>19667.96</v>
      </c>
      <c r="AX1149">
        <v>2.73</v>
      </c>
      <c r="AY1149">
        <v>2.72</v>
      </c>
      <c r="AZ1149" t="s">
        <v>30</v>
      </c>
      <c r="BA1149" t="s">
        <v>31</v>
      </c>
      <c r="BB1149">
        <v>19667.96</v>
      </c>
      <c r="BC1149">
        <v>19667.96</v>
      </c>
      <c r="BD1149">
        <v>19667.96</v>
      </c>
      <c r="BE1149">
        <v>19667.96</v>
      </c>
      <c r="BF1149">
        <v>12582.8</v>
      </c>
      <c r="BG1149">
        <v>3613.26</v>
      </c>
      <c r="BH1149">
        <v>2332.1999999999998</v>
      </c>
      <c r="BI1149">
        <v>4883.82</v>
      </c>
      <c r="BJ1149">
        <v>1375.4</v>
      </c>
      <c r="BK1149">
        <v>2846.42</v>
      </c>
      <c r="BL1149">
        <v>3692.56</v>
      </c>
      <c r="BM1149">
        <v>924.3</v>
      </c>
      <c r="BP1149" s="3">
        <v>45637</v>
      </c>
      <c r="BQ1149">
        <v>8257.99</v>
      </c>
    </row>
    <row r="1150" spans="1:71" x14ac:dyDescent="0.25">
      <c r="A1150" t="s">
        <v>1291</v>
      </c>
      <c r="B1150" t="s">
        <v>147</v>
      </c>
      <c r="C1150" s="2">
        <f>HYPERLINK("https://szao.dolgi.msk.ru/account/3470278916/", 3470278916)</f>
        <v>3470278916</v>
      </c>
      <c r="D1150" t="s">
        <v>29</v>
      </c>
      <c r="E1150">
        <v>372573.4</v>
      </c>
      <c r="AX1150">
        <v>35.340000000000003</v>
      </c>
      <c r="AY1150">
        <v>31.28</v>
      </c>
      <c r="AZ1150" t="s">
        <v>45</v>
      </c>
      <c r="BA1150" t="s">
        <v>36</v>
      </c>
      <c r="BB1150">
        <v>372573.4</v>
      </c>
      <c r="BC1150">
        <v>372573.4</v>
      </c>
      <c r="BD1150">
        <v>372573.4</v>
      </c>
      <c r="BE1150">
        <v>372573.4</v>
      </c>
      <c r="BF1150">
        <v>360661.36</v>
      </c>
      <c r="BG1150">
        <v>38295.21</v>
      </c>
      <c r="BH1150">
        <v>43644.99</v>
      </c>
      <c r="BI1150">
        <v>114336.05</v>
      </c>
      <c r="BJ1150">
        <v>41760.559999999998</v>
      </c>
      <c r="BK1150">
        <v>58670.33</v>
      </c>
      <c r="BL1150">
        <v>67173.3</v>
      </c>
      <c r="BM1150">
        <v>8692.9599999999991</v>
      </c>
      <c r="BP1150" s="3">
        <v>45443</v>
      </c>
      <c r="BQ1150">
        <v>0</v>
      </c>
      <c r="BR1150" s="3">
        <v>45636</v>
      </c>
      <c r="BS1150" t="s">
        <v>1292</v>
      </c>
    </row>
    <row r="1151" spans="1:71" x14ac:dyDescent="0.25">
      <c r="A1151" t="s">
        <v>1291</v>
      </c>
      <c r="B1151" t="s">
        <v>223</v>
      </c>
      <c r="C1151" s="2">
        <f>HYPERLINK("https://szao.dolgi.msk.ru/account/3470278414/", 3470278414)</f>
        <v>3470278414</v>
      </c>
      <c r="D1151" t="s">
        <v>29</v>
      </c>
      <c r="E1151">
        <v>24164.04</v>
      </c>
      <c r="AX1151">
        <v>6.07</v>
      </c>
      <c r="AY1151">
        <v>6.85</v>
      </c>
      <c r="AZ1151" t="s">
        <v>40</v>
      </c>
      <c r="BA1151" t="s">
        <v>66</v>
      </c>
      <c r="BB1151">
        <v>24164.04</v>
      </c>
      <c r="BC1151">
        <v>24164.04</v>
      </c>
      <c r="BD1151">
        <v>24164.04</v>
      </c>
      <c r="BE1151">
        <v>24164.04</v>
      </c>
      <c r="BF1151">
        <v>20638.080000000002</v>
      </c>
      <c r="BG1151">
        <v>3272.55</v>
      </c>
      <c r="BH1151">
        <v>3332.38</v>
      </c>
      <c r="BI1151">
        <v>7937.16</v>
      </c>
      <c r="BJ1151">
        <v>2157.9299999999998</v>
      </c>
      <c r="BK1151">
        <v>4266.57</v>
      </c>
      <c r="BL1151">
        <v>2772.33</v>
      </c>
      <c r="BM1151">
        <v>425.12</v>
      </c>
      <c r="BN1151">
        <v>7695.61</v>
      </c>
      <c r="BP1151" s="3">
        <v>45671</v>
      </c>
      <c r="BQ1151">
        <v>5658.5</v>
      </c>
    </row>
    <row r="1152" spans="1:71" x14ac:dyDescent="0.25">
      <c r="A1152" t="s">
        <v>1291</v>
      </c>
      <c r="B1152" t="s">
        <v>238</v>
      </c>
      <c r="C1152" s="2">
        <f>HYPERLINK("https://szao.dolgi.msk.ru/account/3470278887/", 3470278887)</f>
        <v>3470278887</v>
      </c>
      <c r="D1152" t="s">
        <v>29</v>
      </c>
      <c r="E1152">
        <v>96551.01</v>
      </c>
      <c r="AX1152">
        <v>13.16</v>
      </c>
      <c r="AY1152">
        <v>9.9700000000000006</v>
      </c>
      <c r="AZ1152" t="s">
        <v>45</v>
      </c>
      <c r="BA1152" t="s">
        <v>36</v>
      </c>
      <c r="BB1152">
        <v>96551.01</v>
      </c>
      <c r="BC1152">
        <v>96551.01</v>
      </c>
      <c r="BD1152">
        <v>96551.01</v>
      </c>
      <c r="BE1152">
        <v>96551.01</v>
      </c>
      <c r="BF1152">
        <v>86862.92</v>
      </c>
      <c r="BG1152">
        <v>6055.14</v>
      </c>
      <c r="BH1152">
        <v>11600.39</v>
      </c>
      <c r="BI1152">
        <v>30897.49</v>
      </c>
      <c r="BJ1152">
        <v>10935.88</v>
      </c>
      <c r="BK1152">
        <v>18863.759999999998</v>
      </c>
      <c r="BL1152">
        <v>14277.13</v>
      </c>
      <c r="BM1152">
        <v>3921.22</v>
      </c>
      <c r="BP1152" s="3">
        <v>45596</v>
      </c>
      <c r="BQ1152">
        <v>0</v>
      </c>
      <c r="BR1152" s="3">
        <v>45699</v>
      </c>
      <c r="BS1152" t="s">
        <v>1293</v>
      </c>
    </row>
    <row r="1153" spans="1:71" x14ac:dyDescent="0.25">
      <c r="A1153" t="s">
        <v>1294</v>
      </c>
      <c r="B1153" t="s">
        <v>88</v>
      </c>
      <c r="C1153" s="2">
        <f>HYPERLINK("https://szao.dolgi.msk.ru/account/3470279521/", 3470279521)</f>
        <v>3470279521</v>
      </c>
      <c r="D1153" t="s">
        <v>29</v>
      </c>
      <c r="E1153">
        <v>53744.69</v>
      </c>
      <c r="AX1153">
        <v>3.41</v>
      </c>
      <c r="AY1153">
        <v>3.35</v>
      </c>
      <c r="AZ1153" t="s">
        <v>69</v>
      </c>
      <c r="BA1153" t="s">
        <v>49</v>
      </c>
      <c r="BB1153">
        <v>53744.69</v>
      </c>
      <c r="BC1153">
        <v>53744.69</v>
      </c>
      <c r="BD1153">
        <v>53744.69</v>
      </c>
      <c r="BE1153">
        <v>53744.69</v>
      </c>
      <c r="BF1153">
        <v>37706.589999999997</v>
      </c>
      <c r="BG1153">
        <v>6665.21</v>
      </c>
      <c r="BH1153">
        <v>6635.42</v>
      </c>
      <c r="BI1153">
        <v>16120.86</v>
      </c>
      <c r="BJ1153">
        <v>4540.0200000000004</v>
      </c>
      <c r="BK1153">
        <v>8579.66</v>
      </c>
      <c r="BL1153">
        <v>9457.6</v>
      </c>
      <c r="BM1153">
        <v>1745.92</v>
      </c>
      <c r="BP1153" s="3">
        <v>45594</v>
      </c>
      <c r="BQ1153">
        <v>22148.06</v>
      </c>
    </row>
    <row r="1154" spans="1:71" x14ac:dyDescent="0.25">
      <c r="A1154" t="s">
        <v>1295</v>
      </c>
      <c r="B1154" t="s">
        <v>139</v>
      </c>
      <c r="C1154" s="2">
        <f>HYPERLINK("https://szao.dolgi.msk.ru/account/3470281146/", 3470281146)</f>
        <v>3470281146</v>
      </c>
      <c r="D1154" t="s">
        <v>29</v>
      </c>
      <c r="E1154">
        <v>21919.119999999999</v>
      </c>
      <c r="AX1154">
        <v>4.71</v>
      </c>
      <c r="AY1154">
        <v>4.6500000000000004</v>
      </c>
      <c r="AZ1154" t="s">
        <v>35</v>
      </c>
      <c r="BA1154" t="s">
        <v>49</v>
      </c>
      <c r="BB1154">
        <v>21919.119999999999</v>
      </c>
      <c r="BC1154">
        <v>21919.119999999999</v>
      </c>
      <c r="BD1154">
        <v>21924.27</v>
      </c>
      <c r="BE1154">
        <v>21924.27</v>
      </c>
      <c r="BF1154">
        <v>18621.150000000001</v>
      </c>
      <c r="BG1154">
        <v>5815.96</v>
      </c>
      <c r="BH1154">
        <v>-5.15</v>
      </c>
      <c r="BI1154">
        <v>4748.24</v>
      </c>
      <c r="BJ1154">
        <v>1285.1099999999999</v>
      </c>
      <c r="BK1154">
        <v>1396.47</v>
      </c>
      <c r="BL1154">
        <v>7338.45</v>
      </c>
      <c r="BM1154">
        <v>1340.04</v>
      </c>
      <c r="BN1154">
        <v>3152.15</v>
      </c>
      <c r="BO1154">
        <v>1413.6</v>
      </c>
      <c r="BP1154" s="3">
        <v>45698</v>
      </c>
      <c r="BQ1154">
        <v>1413.6</v>
      </c>
      <c r="BR1154" s="3">
        <v>45588</v>
      </c>
      <c r="BS1154" t="s">
        <v>1296</v>
      </c>
    </row>
    <row r="1155" spans="1:71" x14ac:dyDescent="0.25">
      <c r="A1155" t="s">
        <v>1297</v>
      </c>
      <c r="B1155" t="s">
        <v>28</v>
      </c>
      <c r="C1155" s="2">
        <f>HYPERLINK("https://szao.dolgi.msk.ru/account/3470281189/", 3470281189)</f>
        <v>3470281189</v>
      </c>
      <c r="D1155" t="s">
        <v>29</v>
      </c>
      <c r="E1155">
        <v>44000.87</v>
      </c>
      <c r="AX1155">
        <v>9.4700000000000006</v>
      </c>
      <c r="AY1155">
        <v>5.51</v>
      </c>
      <c r="AZ1155" t="s">
        <v>40</v>
      </c>
      <c r="BA1155" t="s">
        <v>63</v>
      </c>
      <c r="BB1155">
        <v>44000.87</v>
      </c>
      <c r="BC1155">
        <v>44000.87</v>
      </c>
      <c r="BD1155">
        <v>44693.86</v>
      </c>
      <c r="BE1155">
        <v>44693.86</v>
      </c>
      <c r="BF1155">
        <v>43266.31</v>
      </c>
      <c r="BG1155">
        <v>0</v>
      </c>
      <c r="BH1155">
        <v>14284.36</v>
      </c>
      <c r="BI1155">
        <v>0</v>
      </c>
      <c r="BJ1155">
        <v>0</v>
      </c>
      <c r="BK1155">
        <v>-692.99</v>
      </c>
      <c r="BL1155">
        <v>26026.95</v>
      </c>
      <c r="BM1155">
        <v>4382.55</v>
      </c>
      <c r="BO1155">
        <v>7254.81</v>
      </c>
      <c r="BP1155" s="3">
        <v>45692</v>
      </c>
      <c r="BQ1155">
        <v>7254.81</v>
      </c>
      <c r="BR1155" s="3">
        <v>45275</v>
      </c>
      <c r="BS1155" t="s">
        <v>128</v>
      </c>
    </row>
    <row r="1156" spans="1:71" x14ac:dyDescent="0.25">
      <c r="A1156" t="s">
        <v>1297</v>
      </c>
      <c r="B1156" t="s">
        <v>80</v>
      </c>
      <c r="C1156" s="2">
        <f>HYPERLINK("https://szao.dolgi.msk.ru/account/3470281381/", 3470281381)</f>
        <v>3470281381</v>
      </c>
      <c r="D1156" t="s">
        <v>29</v>
      </c>
      <c r="E1156">
        <v>16952.98</v>
      </c>
      <c r="AX1156">
        <v>2.74</v>
      </c>
      <c r="AY1156">
        <v>2.78</v>
      </c>
      <c r="AZ1156" t="s">
        <v>35</v>
      </c>
      <c r="BA1156" t="s">
        <v>31</v>
      </c>
      <c r="BB1156">
        <v>16952.98</v>
      </c>
      <c r="BC1156">
        <v>16952.98</v>
      </c>
      <c r="BD1156">
        <v>16952.98</v>
      </c>
      <c r="BE1156">
        <v>16952.98</v>
      </c>
      <c r="BF1156">
        <v>10860.05</v>
      </c>
      <c r="BG1156">
        <v>3792.12</v>
      </c>
      <c r="BH1156">
        <v>1024.1300000000001</v>
      </c>
      <c r="BI1156">
        <v>1233.82</v>
      </c>
      <c r="BJ1156">
        <v>341.06</v>
      </c>
      <c r="BK1156">
        <v>1064.08</v>
      </c>
      <c r="BL1156">
        <v>8392.83</v>
      </c>
      <c r="BM1156">
        <v>1104.94</v>
      </c>
      <c r="BO1156">
        <v>6092.93</v>
      </c>
      <c r="BP1156" s="3">
        <v>45678</v>
      </c>
      <c r="BQ1156">
        <v>6092.93</v>
      </c>
      <c r="BR1156" s="3">
        <v>45476</v>
      </c>
      <c r="BS1156" t="s">
        <v>1298</v>
      </c>
    </row>
    <row r="1157" spans="1:71" x14ac:dyDescent="0.25">
      <c r="A1157" t="s">
        <v>1299</v>
      </c>
      <c r="B1157" t="s">
        <v>80</v>
      </c>
      <c r="C1157" s="2">
        <f>HYPERLINK("https://szao.dolgi.msk.ru/account/3470301733/", 3470301733)</f>
        <v>3470301733</v>
      </c>
      <c r="D1157" t="s">
        <v>29</v>
      </c>
      <c r="E1157">
        <v>99279.75</v>
      </c>
      <c r="AX1157">
        <v>22.76</v>
      </c>
      <c r="AY1157">
        <v>23.89</v>
      </c>
      <c r="AZ1157" t="s">
        <v>40</v>
      </c>
      <c r="BA1157" t="s">
        <v>36</v>
      </c>
      <c r="BB1157">
        <v>99279.75</v>
      </c>
      <c r="BC1157">
        <v>99279.75</v>
      </c>
      <c r="BD1157">
        <v>99279.75</v>
      </c>
      <c r="BE1157">
        <v>99279.75</v>
      </c>
      <c r="BF1157">
        <v>95124.89</v>
      </c>
      <c r="BG1157">
        <v>19239.75</v>
      </c>
      <c r="BH1157">
        <v>4549.3999999999996</v>
      </c>
      <c r="BI1157">
        <v>18536.57</v>
      </c>
      <c r="BJ1157">
        <v>4961.24</v>
      </c>
      <c r="BK1157">
        <v>8193.2000000000007</v>
      </c>
      <c r="BL1157">
        <v>38527.83</v>
      </c>
      <c r="BM1157">
        <v>5271.76</v>
      </c>
      <c r="BN1157">
        <v>0</v>
      </c>
      <c r="BP1157" s="3">
        <v>45677</v>
      </c>
      <c r="BQ1157">
        <v>0</v>
      </c>
      <c r="BR1157" s="3">
        <v>45638</v>
      </c>
      <c r="BS1157" t="s">
        <v>1300</v>
      </c>
    </row>
    <row r="1158" spans="1:71" x14ac:dyDescent="0.25">
      <c r="A1158" t="s">
        <v>1299</v>
      </c>
      <c r="B1158" t="s">
        <v>364</v>
      </c>
      <c r="C1158" s="2">
        <f>HYPERLINK("https://szao.dolgi.msk.ru/account/3470281541/", 3470281541)</f>
        <v>3470281541</v>
      </c>
      <c r="D1158" t="s">
        <v>29</v>
      </c>
      <c r="E1158">
        <v>83320.89</v>
      </c>
      <c r="AX1158">
        <v>10.51</v>
      </c>
      <c r="AY1158">
        <v>11.26</v>
      </c>
      <c r="AZ1158" t="s">
        <v>35</v>
      </c>
      <c r="BA1158" t="s">
        <v>63</v>
      </c>
      <c r="BB1158">
        <v>83320.89</v>
      </c>
      <c r="BC1158">
        <v>83320.89</v>
      </c>
      <c r="BD1158">
        <v>83320.89</v>
      </c>
      <c r="BE1158">
        <v>83320.89</v>
      </c>
      <c r="BF1158">
        <v>83320.89</v>
      </c>
      <c r="BG1158">
        <v>18662.75</v>
      </c>
      <c r="BH1158">
        <v>6464.89</v>
      </c>
      <c r="BI1158">
        <v>16867.39</v>
      </c>
      <c r="BJ1158">
        <v>4376.32</v>
      </c>
      <c r="BK1158">
        <v>8243.24</v>
      </c>
      <c r="BL1158">
        <v>26018.16</v>
      </c>
      <c r="BM1158">
        <v>2688.14</v>
      </c>
      <c r="BO1158">
        <v>7402.38</v>
      </c>
      <c r="BP1158" s="3">
        <v>45691</v>
      </c>
      <c r="BQ1158">
        <v>7402.38</v>
      </c>
      <c r="BR1158" s="3">
        <v>45635</v>
      </c>
      <c r="BS1158" t="s">
        <v>1301</v>
      </c>
    </row>
    <row r="1159" spans="1:71" x14ac:dyDescent="0.25">
      <c r="A1159" t="s">
        <v>1299</v>
      </c>
      <c r="B1159" t="s">
        <v>481</v>
      </c>
      <c r="C1159" s="2">
        <f>HYPERLINK("https://szao.dolgi.msk.ru/account/3470281656/", 3470281656)</f>
        <v>3470281656</v>
      </c>
      <c r="D1159" t="s">
        <v>29</v>
      </c>
      <c r="E1159">
        <v>21511.49</v>
      </c>
      <c r="AX1159">
        <v>2.25</v>
      </c>
      <c r="AY1159">
        <v>2.15</v>
      </c>
      <c r="AZ1159" t="s">
        <v>30</v>
      </c>
      <c r="BA1159" t="s">
        <v>31</v>
      </c>
      <c r="BB1159">
        <v>21511.49</v>
      </c>
      <c r="BC1159">
        <v>21511.49</v>
      </c>
      <c r="BD1159">
        <v>21511.49</v>
      </c>
      <c r="BE1159">
        <v>21511.49</v>
      </c>
      <c r="BF1159">
        <v>11526.21</v>
      </c>
      <c r="BG1159">
        <v>6442.67</v>
      </c>
      <c r="BH1159">
        <v>1395.28</v>
      </c>
      <c r="BI1159">
        <v>2455.17</v>
      </c>
      <c r="BJ1159">
        <v>769.97</v>
      </c>
      <c r="BK1159">
        <v>1550</v>
      </c>
      <c r="BL1159">
        <v>7735.96</v>
      </c>
      <c r="BM1159">
        <v>1162.44</v>
      </c>
      <c r="BN1159">
        <v>17411.98</v>
      </c>
      <c r="BP1159" s="3">
        <v>45684</v>
      </c>
      <c r="BQ1159">
        <v>17411.98</v>
      </c>
      <c r="BR1159" s="3">
        <v>45637</v>
      </c>
      <c r="BS1159" t="s">
        <v>1302</v>
      </c>
    </row>
    <row r="1160" spans="1:71" x14ac:dyDescent="0.25">
      <c r="A1160" t="s">
        <v>1299</v>
      </c>
      <c r="B1160" t="s">
        <v>194</v>
      </c>
      <c r="C1160" s="2">
        <f>HYPERLINK("https://szao.dolgi.msk.ru/account/3470281701/", 3470281701)</f>
        <v>3470281701</v>
      </c>
      <c r="D1160" t="s">
        <v>29</v>
      </c>
      <c r="E1160">
        <v>96790.94</v>
      </c>
      <c r="AX1160">
        <v>7.23</v>
      </c>
      <c r="AY1160">
        <v>7.1</v>
      </c>
      <c r="AZ1160" t="s">
        <v>40</v>
      </c>
      <c r="BA1160" t="s">
        <v>66</v>
      </c>
      <c r="BB1160">
        <v>96790.94</v>
      </c>
      <c r="BC1160">
        <v>96790.94</v>
      </c>
      <c r="BD1160">
        <v>96790.94</v>
      </c>
      <c r="BE1160">
        <v>96790.94</v>
      </c>
      <c r="BF1160">
        <v>83158.679999999993</v>
      </c>
      <c r="BG1160">
        <v>17903.55</v>
      </c>
      <c r="BH1160">
        <v>4126.8900000000003</v>
      </c>
      <c r="BI1160">
        <v>24595.39</v>
      </c>
      <c r="BJ1160">
        <v>6768.47</v>
      </c>
      <c r="BK1160">
        <v>8428.4699999999993</v>
      </c>
      <c r="BL1160">
        <v>30101.31</v>
      </c>
      <c r="BM1160">
        <v>4866.8599999999997</v>
      </c>
      <c r="BP1160" s="3">
        <v>45654</v>
      </c>
      <c r="BQ1160">
        <v>12999.55</v>
      </c>
      <c r="BR1160" s="3">
        <v>45490</v>
      </c>
      <c r="BS1160" t="s">
        <v>1303</v>
      </c>
    </row>
    <row r="1161" spans="1:71" x14ac:dyDescent="0.25">
      <c r="A1161" t="s">
        <v>1299</v>
      </c>
      <c r="B1161" t="s">
        <v>241</v>
      </c>
      <c r="C1161" s="2">
        <f>HYPERLINK("https://szao.dolgi.msk.ru/account/3470282376/", 3470282376)</f>
        <v>3470282376</v>
      </c>
      <c r="D1161" t="s">
        <v>29</v>
      </c>
      <c r="E1161">
        <v>39377.08</v>
      </c>
      <c r="AX1161">
        <v>5.46</v>
      </c>
      <c r="AY1161">
        <v>4.8899999999999997</v>
      </c>
      <c r="AZ1161" t="s">
        <v>69</v>
      </c>
      <c r="BA1161" t="s">
        <v>49</v>
      </c>
      <c r="BB1161">
        <v>39377.08</v>
      </c>
      <c r="BC1161">
        <v>39377.08</v>
      </c>
      <c r="BD1161">
        <v>55332.34</v>
      </c>
      <c r="BE1161">
        <v>55332.34</v>
      </c>
      <c r="BF1161">
        <v>31317.67</v>
      </c>
      <c r="BG1161">
        <v>18523.11</v>
      </c>
      <c r="BH1161">
        <v>-42.7</v>
      </c>
      <c r="BI1161">
        <v>-5947.29</v>
      </c>
      <c r="BJ1161">
        <v>349.93</v>
      </c>
      <c r="BK1161">
        <v>-9965.27</v>
      </c>
      <c r="BL1161">
        <v>31375.88</v>
      </c>
      <c r="BM1161">
        <v>5083.42</v>
      </c>
      <c r="BP1161" s="3">
        <v>45580</v>
      </c>
      <c r="BQ1161">
        <v>13596.42</v>
      </c>
      <c r="BR1161" s="3">
        <v>45637</v>
      </c>
      <c r="BS1161" t="s">
        <v>1304</v>
      </c>
    </row>
    <row r="1162" spans="1:71" x14ac:dyDescent="0.25">
      <c r="A1162" t="s">
        <v>1305</v>
      </c>
      <c r="B1162" t="s">
        <v>550</v>
      </c>
      <c r="C1162" s="2">
        <f>HYPERLINK("https://szao.dolgi.msk.ru/account/3470331078/", 3470331078)</f>
        <v>3470331078</v>
      </c>
      <c r="D1162" t="s">
        <v>29</v>
      </c>
      <c r="E1162">
        <v>399617.71</v>
      </c>
      <c r="AX1162">
        <v>37.29</v>
      </c>
      <c r="AY1162">
        <v>31.09</v>
      </c>
      <c r="AZ1162" t="s">
        <v>56</v>
      </c>
      <c r="BA1162" t="s">
        <v>36</v>
      </c>
      <c r="BB1162">
        <v>399617.71</v>
      </c>
      <c r="BC1162">
        <v>399617.71</v>
      </c>
      <c r="BD1162">
        <v>399617.71</v>
      </c>
      <c r="BE1162">
        <v>399617.71</v>
      </c>
      <c r="BF1162">
        <v>386762.14</v>
      </c>
      <c r="BG1162">
        <v>89209.47</v>
      </c>
      <c r="BH1162">
        <v>31068.62</v>
      </c>
      <c r="BI1162">
        <v>69303.25</v>
      </c>
      <c r="BJ1162">
        <v>22065.37</v>
      </c>
      <c r="BK1162">
        <v>38272.980000000003</v>
      </c>
      <c r="BL1162">
        <v>131583.09</v>
      </c>
      <c r="BM1162">
        <v>18114.93</v>
      </c>
      <c r="BP1162" s="3">
        <v>45596</v>
      </c>
      <c r="BQ1162">
        <v>0</v>
      </c>
      <c r="BR1162" s="3">
        <v>45170</v>
      </c>
      <c r="BS1162" t="s">
        <v>61</v>
      </c>
    </row>
    <row r="1163" spans="1:71" x14ac:dyDescent="0.25">
      <c r="A1163" t="s">
        <v>1305</v>
      </c>
      <c r="B1163" t="s">
        <v>279</v>
      </c>
      <c r="C1163" s="2">
        <f>HYPERLINK("https://szao.dolgi.msk.ru/account/3470298773/", 3470298773)</f>
        <v>3470298773</v>
      </c>
      <c r="D1163" t="s">
        <v>29</v>
      </c>
      <c r="E1163">
        <v>15636.13</v>
      </c>
      <c r="AX1163">
        <v>3.12</v>
      </c>
      <c r="AY1163">
        <v>3.98</v>
      </c>
      <c r="AZ1163" t="s">
        <v>35</v>
      </c>
      <c r="BA1163" t="s">
        <v>49</v>
      </c>
      <c r="BB1163">
        <v>15636.13</v>
      </c>
      <c r="BC1163">
        <v>15636.13</v>
      </c>
      <c r="BD1163">
        <v>15636.13</v>
      </c>
      <c r="BE1163">
        <v>15636.13</v>
      </c>
      <c r="BF1163">
        <v>11706.68</v>
      </c>
      <c r="BG1163">
        <v>1386.86</v>
      </c>
      <c r="BH1163">
        <v>2379.85</v>
      </c>
      <c r="BI1163">
        <v>6085.72</v>
      </c>
      <c r="BJ1163">
        <v>1596.39</v>
      </c>
      <c r="BK1163">
        <v>3032.86</v>
      </c>
      <c r="BL1163">
        <v>978.75</v>
      </c>
      <c r="BM1163">
        <v>175.7</v>
      </c>
      <c r="BN1163">
        <v>289.70999999999998</v>
      </c>
      <c r="BO1163">
        <v>3929.45</v>
      </c>
      <c r="BP1163" s="3">
        <v>45684</v>
      </c>
      <c r="BQ1163">
        <v>289.70999999999998</v>
      </c>
    </row>
    <row r="1164" spans="1:71" x14ac:dyDescent="0.25">
      <c r="A1164" t="s">
        <v>1306</v>
      </c>
      <c r="B1164" t="s">
        <v>160</v>
      </c>
      <c r="C1164" s="2">
        <f>HYPERLINK("https://szao.dolgi.msk.ru/account/3470283096/", 3470283096)</f>
        <v>3470283096</v>
      </c>
      <c r="D1164" t="s">
        <v>29</v>
      </c>
      <c r="E1164">
        <v>18507.32</v>
      </c>
      <c r="AX1164">
        <v>2.41</v>
      </c>
      <c r="AY1164">
        <v>2.33</v>
      </c>
      <c r="AZ1164" t="s">
        <v>40</v>
      </c>
      <c r="BA1164" t="s">
        <v>31</v>
      </c>
      <c r="BB1164">
        <v>18507.32</v>
      </c>
      <c r="BC1164">
        <v>18507.32</v>
      </c>
      <c r="BD1164">
        <v>18507.32</v>
      </c>
      <c r="BE1164">
        <v>18507.32</v>
      </c>
      <c r="BF1164">
        <v>10985.84</v>
      </c>
      <c r="BG1164">
        <v>4479.82</v>
      </c>
      <c r="BH1164">
        <v>764.53</v>
      </c>
      <c r="BI1164">
        <v>5268.75</v>
      </c>
      <c r="BJ1164">
        <v>1483.8</v>
      </c>
      <c r="BK1164">
        <v>1726.1</v>
      </c>
      <c r="BL1164">
        <v>3638.35</v>
      </c>
      <c r="BM1164">
        <v>1145.97</v>
      </c>
      <c r="BN1164">
        <v>5087.38</v>
      </c>
      <c r="BP1164" s="3">
        <v>45685</v>
      </c>
      <c r="BQ1164">
        <v>5087.38</v>
      </c>
    </row>
    <row r="1165" spans="1:71" x14ac:dyDescent="0.25">
      <c r="A1165" t="s">
        <v>1306</v>
      </c>
      <c r="B1165" t="s">
        <v>160</v>
      </c>
      <c r="C1165" s="2">
        <f>HYPERLINK("https://szao.dolgi.msk.ru/account/3470475741/", 3470475741)</f>
        <v>3470475741</v>
      </c>
      <c r="D1165" t="s">
        <v>29</v>
      </c>
      <c r="E1165">
        <v>8915.4500000000007</v>
      </c>
      <c r="AX1165">
        <v>2.71</v>
      </c>
      <c r="AY1165">
        <v>2.66</v>
      </c>
      <c r="AZ1165" t="s">
        <v>40</v>
      </c>
      <c r="BA1165" t="s">
        <v>31</v>
      </c>
      <c r="BB1165">
        <v>8915.4500000000007</v>
      </c>
      <c r="BC1165">
        <v>8915.4500000000007</v>
      </c>
      <c r="BD1165">
        <v>8915.4500000000007</v>
      </c>
      <c r="BE1165">
        <v>8915.4500000000007</v>
      </c>
      <c r="BF1165">
        <v>5567.17</v>
      </c>
      <c r="BG1165">
        <v>1679.92</v>
      </c>
      <c r="BH1165">
        <v>299.82</v>
      </c>
      <c r="BI1165">
        <v>2066.1799999999998</v>
      </c>
      <c r="BJ1165">
        <v>581.89</v>
      </c>
      <c r="BK1165">
        <v>676.9</v>
      </c>
      <c r="BL1165">
        <v>3180.99</v>
      </c>
      <c r="BM1165">
        <v>429.75</v>
      </c>
      <c r="BN1165">
        <v>2232.13</v>
      </c>
      <c r="BP1165" s="3">
        <v>45685</v>
      </c>
      <c r="BQ1165">
        <v>2232.13</v>
      </c>
    </row>
    <row r="1166" spans="1:71" x14ac:dyDescent="0.25">
      <c r="A1166" t="s">
        <v>1307</v>
      </c>
      <c r="B1166" t="s">
        <v>100</v>
      </c>
      <c r="C1166" s="2">
        <f>HYPERLINK("https://szao.dolgi.msk.ru/account/3470299004/", 3470299004)</f>
        <v>3470299004</v>
      </c>
      <c r="D1166" t="s">
        <v>29</v>
      </c>
      <c r="E1166">
        <v>26076.55</v>
      </c>
      <c r="AX1166">
        <v>3.09</v>
      </c>
      <c r="AY1166">
        <v>2.92</v>
      </c>
      <c r="AZ1166" t="s">
        <v>30</v>
      </c>
      <c r="BA1166" t="s">
        <v>49</v>
      </c>
      <c r="BB1166">
        <v>26076.55</v>
      </c>
      <c r="BC1166">
        <v>26076.55</v>
      </c>
      <c r="BD1166">
        <v>26076.55</v>
      </c>
      <c r="BE1166">
        <v>26076.55</v>
      </c>
      <c r="BF1166">
        <v>17258.669999999998</v>
      </c>
      <c r="BG1166">
        <v>8308.1200000000008</v>
      </c>
      <c r="BH1166">
        <v>1486.39</v>
      </c>
      <c r="BI1166">
        <v>1822.87</v>
      </c>
      <c r="BJ1166">
        <v>512.73</v>
      </c>
      <c r="BK1166">
        <v>1535.23</v>
      </c>
      <c r="BL1166">
        <v>10489.94</v>
      </c>
      <c r="BM1166">
        <v>1921.27</v>
      </c>
      <c r="BP1166" s="3">
        <v>45667</v>
      </c>
      <c r="BQ1166">
        <v>19818.669999999998</v>
      </c>
      <c r="BR1166" s="3">
        <v>45604</v>
      </c>
      <c r="BS1166" t="s">
        <v>1308</v>
      </c>
    </row>
    <row r="1167" spans="1:71" x14ac:dyDescent="0.25">
      <c r="A1167" t="s">
        <v>1307</v>
      </c>
      <c r="B1167" t="s">
        <v>287</v>
      </c>
      <c r="C1167" s="2">
        <f>HYPERLINK("https://szao.dolgi.msk.ru/account/3470283774/", 3470283774)</f>
        <v>3470283774</v>
      </c>
      <c r="D1167" t="s">
        <v>29</v>
      </c>
      <c r="E1167">
        <v>139858.09</v>
      </c>
      <c r="AX1167">
        <v>20.09</v>
      </c>
      <c r="AY1167">
        <v>17.899999999999999</v>
      </c>
      <c r="AZ1167" t="s">
        <v>45</v>
      </c>
      <c r="BA1167" t="s">
        <v>36</v>
      </c>
      <c r="BB1167">
        <v>139858.09</v>
      </c>
      <c r="BC1167">
        <v>139858.09</v>
      </c>
      <c r="BD1167">
        <v>139858.09</v>
      </c>
      <c r="BE1167">
        <v>139858.09</v>
      </c>
      <c r="BF1167">
        <v>135081.20000000001</v>
      </c>
      <c r="BG1167">
        <v>25430.48</v>
      </c>
      <c r="BH1167">
        <v>17477.759999999998</v>
      </c>
      <c r="BI1167">
        <v>45367.57</v>
      </c>
      <c r="BJ1167">
        <v>14834.66</v>
      </c>
      <c r="BK1167">
        <v>14371.28</v>
      </c>
      <c r="BL1167">
        <v>14781.78</v>
      </c>
      <c r="BM1167">
        <v>7594.56</v>
      </c>
      <c r="BN1167">
        <v>3004.02</v>
      </c>
      <c r="BP1167" s="3">
        <v>45696</v>
      </c>
      <c r="BQ1167">
        <v>0.01</v>
      </c>
      <c r="BR1167" s="3">
        <v>45635</v>
      </c>
      <c r="BS1167" t="s">
        <v>1309</v>
      </c>
    </row>
    <row r="1168" spans="1:71" x14ac:dyDescent="0.25">
      <c r="A1168" t="s">
        <v>1307</v>
      </c>
      <c r="B1168" t="s">
        <v>473</v>
      </c>
      <c r="C1168" s="2">
        <f>HYPERLINK("https://szao.dolgi.msk.ru/account/3470299055/", 3470299055)</f>
        <v>3470299055</v>
      </c>
      <c r="D1168" t="s">
        <v>29</v>
      </c>
      <c r="E1168">
        <v>47405.22</v>
      </c>
      <c r="AX1168">
        <v>6.77</v>
      </c>
      <c r="AY1168">
        <v>5.8</v>
      </c>
      <c r="AZ1168" t="s">
        <v>40</v>
      </c>
      <c r="BA1168" t="s">
        <v>66</v>
      </c>
      <c r="BB1168">
        <v>47405.22</v>
      </c>
      <c r="BC1168">
        <v>47405.22</v>
      </c>
      <c r="BD1168">
        <v>47405.22</v>
      </c>
      <c r="BE1168">
        <v>47405.22</v>
      </c>
      <c r="BF1168">
        <v>47435.57</v>
      </c>
      <c r="BG1168">
        <v>7185.72</v>
      </c>
      <c r="BH1168">
        <v>5396.16</v>
      </c>
      <c r="BI1168">
        <v>13497.84</v>
      </c>
      <c r="BJ1168">
        <v>3696.79</v>
      </c>
      <c r="BK1168">
        <v>7046.7</v>
      </c>
      <c r="BL1168">
        <v>8759.99</v>
      </c>
      <c r="BM1168">
        <v>1822.02</v>
      </c>
      <c r="BO1168">
        <v>8176.55</v>
      </c>
      <c r="BP1168" s="3">
        <v>45694</v>
      </c>
      <c r="BQ1168">
        <v>8176.55</v>
      </c>
      <c r="BR1168" s="3">
        <v>45692</v>
      </c>
      <c r="BS1168" t="s">
        <v>1310</v>
      </c>
    </row>
    <row r="1169" spans="1:71" x14ac:dyDescent="0.25">
      <c r="A1169" t="s">
        <v>1311</v>
      </c>
      <c r="B1169" t="s">
        <v>602</v>
      </c>
      <c r="C1169" s="2">
        <f>HYPERLINK("https://szao.dolgi.msk.ru/account/3470288612/", 3470288612)</f>
        <v>3470288612</v>
      </c>
      <c r="D1169" t="s">
        <v>29</v>
      </c>
      <c r="E1169">
        <v>127784.2</v>
      </c>
      <c r="AX1169">
        <v>23.05</v>
      </c>
      <c r="AY1169">
        <v>23.05</v>
      </c>
      <c r="AZ1169" t="s">
        <v>45</v>
      </c>
      <c r="BA1169" t="s">
        <v>36</v>
      </c>
      <c r="BB1169">
        <v>127784.2</v>
      </c>
      <c r="BC1169">
        <v>127784.2</v>
      </c>
      <c r="BD1169">
        <v>128025.73</v>
      </c>
      <c r="BE1169">
        <v>128025.73</v>
      </c>
      <c r="BF1169">
        <v>122240.47</v>
      </c>
      <c r="BG1169">
        <v>38684.35</v>
      </c>
      <c r="BH1169">
        <v>-241.53</v>
      </c>
      <c r="BI1169">
        <v>0</v>
      </c>
      <c r="BJ1169">
        <v>0</v>
      </c>
      <c r="BK1169">
        <v>2282.7199999999998</v>
      </c>
      <c r="BL1169">
        <v>74022.28</v>
      </c>
      <c r="BM1169">
        <v>13036.38</v>
      </c>
      <c r="BP1169" s="3">
        <v>45467</v>
      </c>
      <c r="BQ1169">
        <v>4751.9799999999996</v>
      </c>
      <c r="BR1169" s="3">
        <v>45638</v>
      </c>
      <c r="BS1169" t="s">
        <v>1312</v>
      </c>
    </row>
    <row r="1170" spans="1:71" x14ac:dyDescent="0.25">
      <c r="A1170" t="s">
        <v>1313</v>
      </c>
      <c r="B1170" t="s">
        <v>160</v>
      </c>
      <c r="C1170" s="2">
        <f>HYPERLINK("https://szao.dolgi.msk.ru/account/3470313953/", 3470313953)</f>
        <v>3470313953</v>
      </c>
      <c r="D1170" t="s">
        <v>29</v>
      </c>
      <c r="E1170">
        <v>238305.69</v>
      </c>
      <c r="AX1170">
        <v>38.479999999999997</v>
      </c>
      <c r="AY1170">
        <v>33.729999999999997</v>
      </c>
      <c r="AZ1170" t="s">
        <v>56</v>
      </c>
      <c r="BA1170" t="s">
        <v>36</v>
      </c>
      <c r="BB1170">
        <v>238305.69</v>
      </c>
      <c r="BC1170">
        <v>238305.69</v>
      </c>
      <c r="BD1170">
        <v>238305.69</v>
      </c>
      <c r="BE1170">
        <v>238305.69</v>
      </c>
      <c r="BF1170">
        <v>231240.13</v>
      </c>
      <c r="BG1170">
        <v>30826.91</v>
      </c>
      <c r="BH1170">
        <v>30018.080000000002</v>
      </c>
      <c r="BI1170">
        <v>61267.91</v>
      </c>
      <c r="BJ1170">
        <v>20541.89</v>
      </c>
      <c r="BK1170">
        <v>32241.45</v>
      </c>
      <c r="BL1170">
        <v>56494.75</v>
      </c>
      <c r="BM1170">
        <v>6914.7</v>
      </c>
      <c r="BP1170" s="3">
        <v>45596</v>
      </c>
      <c r="BQ1170">
        <v>0</v>
      </c>
      <c r="BR1170" s="3">
        <v>45355</v>
      </c>
      <c r="BS1170" t="s">
        <v>1314</v>
      </c>
    </row>
    <row r="1171" spans="1:71" x14ac:dyDescent="0.25">
      <c r="A1171" t="s">
        <v>1315</v>
      </c>
      <c r="B1171" t="s">
        <v>364</v>
      </c>
      <c r="C1171" s="2">
        <f>HYPERLINK("https://szao.dolgi.msk.ru/account/3470482618/", 3470482618)</f>
        <v>3470482618</v>
      </c>
      <c r="D1171" t="s">
        <v>29</v>
      </c>
      <c r="E1171">
        <v>133161.42000000001</v>
      </c>
      <c r="AX1171">
        <v>79.33</v>
      </c>
      <c r="AY1171">
        <v>77.959999999999994</v>
      </c>
      <c r="AZ1171" t="s">
        <v>45</v>
      </c>
      <c r="BA1171" t="s">
        <v>36</v>
      </c>
      <c r="BB1171">
        <v>133161.42000000001</v>
      </c>
      <c r="BC1171">
        <v>133161.42000000001</v>
      </c>
      <c r="BD1171">
        <v>133161.42000000001</v>
      </c>
      <c r="BE1171">
        <v>133161.42000000001</v>
      </c>
      <c r="BF1171">
        <v>131453.24</v>
      </c>
      <c r="BG1171">
        <v>14674.42</v>
      </c>
      <c r="BH1171">
        <v>47203.6</v>
      </c>
      <c r="BI1171">
        <v>0</v>
      </c>
      <c r="BJ1171">
        <v>0</v>
      </c>
      <c r="BK1171">
        <v>33344.93</v>
      </c>
      <c r="BL1171">
        <v>33132.53</v>
      </c>
      <c r="BM1171">
        <v>4805.9399999999996</v>
      </c>
      <c r="BP1171" s="3">
        <v>45378</v>
      </c>
      <c r="BQ1171">
        <v>21384.55</v>
      </c>
      <c r="BR1171" s="3">
        <v>45632</v>
      </c>
      <c r="BS1171" t="s">
        <v>1316</v>
      </c>
    </row>
    <row r="1172" spans="1:71" x14ac:dyDescent="0.25">
      <c r="A1172" t="s">
        <v>1317</v>
      </c>
      <c r="B1172" t="s">
        <v>502</v>
      </c>
      <c r="C1172" s="2">
        <f>HYPERLINK("https://szao.dolgi.msk.ru/account/3470287441/", 3470287441)</f>
        <v>3470287441</v>
      </c>
      <c r="D1172" t="s">
        <v>29</v>
      </c>
      <c r="E1172">
        <v>120025.76</v>
      </c>
      <c r="AX1172">
        <v>14.89</v>
      </c>
      <c r="AY1172">
        <v>13.63</v>
      </c>
      <c r="AZ1172" t="s">
        <v>35</v>
      </c>
      <c r="BA1172" t="s">
        <v>36</v>
      </c>
      <c r="BB1172">
        <v>120025.76</v>
      </c>
      <c r="BC1172">
        <v>120025.76</v>
      </c>
      <c r="BD1172">
        <v>120025.76</v>
      </c>
      <c r="BE1172">
        <v>120025.76</v>
      </c>
      <c r="BF1172">
        <v>111268.32</v>
      </c>
      <c r="BG1172">
        <v>20992.84</v>
      </c>
      <c r="BH1172">
        <v>27968.97</v>
      </c>
      <c r="BI1172">
        <v>0</v>
      </c>
      <c r="BJ1172">
        <v>0</v>
      </c>
      <c r="BK1172">
        <v>21813.91</v>
      </c>
      <c r="BL1172">
        <v>42717.04</v>
      </c>
      <c r="BM1172">
        <v>6533</v>
      </c>
      <c r="BO1172">
        <v>8807.8799999999992</v>
      </c>
      <c r="BP1172" s="3">
        <v>45674</v>
      </c>
      <c r="BQ1172">
        <v>8807.8799999999992</v>
      </c>
      <c r="BR1172" s="3">
        <v>45509</v>
      </c>
      <c r="BS1172" t="s">
        <v>1318</v>
      </c>
    </row>
    <row r="1173" spans="1:71" x14ac:dyDescent="0.25">
      <c r="A1173" t="s">
        <v>1317</v>
      </c>
      <c r="B1173" t="s">
        <v>502</v>
      </c>
      <c r="C1173" s="2">
        <f>HYPERLINK("https://szao.dolgi.msk.ru/account/3470444443/", 3470444443)</f>
        <v>3470444443</v>
      </c>
      <c r="D1173" t="s">
        <v>29</v>
      </c>
      <c r="E1173">
        <v>14628.87</v>
      </c>
      <c r="AX1173">
        <v>37.1</v>
      </c>
      <c r="AY1173">
        <v>35.68</v>
      </c>
      <c r="AZ1173" t="s">
        <v>56</v>
      </c>
      <c r="BA1173" t="s">
        <v>36</v>
      </c>
      <c r="BB1173">
        <v>14628.87</v>
      </c>
      <c r="BC1173">
        <v>14628.87</v>
      </c>
      <c r="BD1173">
        <v>15250.33</v>
      </c>
      <c r="BE1173">
        <v>15250.33</v>
      </c>
      <c r="BF1173">
        <v>14218.83</v>
      </c>
      <c r="BG1173">
        <v>5123.6899999999996</v>
      </c>
      <c r="BH1173">
        <v>-77.069999999999993</v>
      </c>
      <c r="BI1173">
        <v>0</v>
      </c>
      <c r="BJ1173">
        <v>0</v>
      </c>
      <c r="BK1173">
        <v>-544.39</v>
      </c>
      <c r="BL1173">
        <v>8979.18</v>
      </c>
      <c r="BM1173">
        <v>1147.46</v>
      </c>
      <c r="BP1173" s="3">
        <v>43850</v>
      </c>
      <c r="BQ1173">
        <v>249.84</v>
      </c>
      <c r="BR1173" s="3">
        <v>44903</v>
      </c>
      <c r="BS1173" t="s">
        <v>1319</v>
      </c>
    </row>
    <row r="1174" spans="1:71" x14ac:dyDescent="0.25">
      <c r="A1174" t="s">
        <v>1317</v>
      </c>
      <c r="B1174" t="s">
        <v>287</v>
      </c>
      <c r="C1174" s="2">
        <f>HYPERLINK("https://szao.dolgi.msk.ru/account/3470313187/", 3470313187)</f>
        <v>3470313187</v>
      </c>
      <c r="D1174" t="s">
        <v>29</v>
      </c>
      <c r="E1174">
        <v>61396.13</v>
      </c>
      <c r="AX1174">
        <v>12.8</v>
      </c>
      <c r="AY1174">
        <v>12.88</v>
      </c>
      <c r="AZ1174" t="s">
        <v>45</v>
      </c>
      <c r="BA1174" t="s">
        <v>36</v>
      </c>
      <c r="BB1174">
        <v>61396.13</v>
      </c>
      <c r="BC1174">
        <v>61396.13</v>
      </c>
      <c r="BD1174">
        <v>61448.08</v>
      </c>
      <c r="BE1174">
        <v>61448.08</v>
      </c>
      <c r="BF1174">
        <v>56630.15</v>
      </c>
      <c r="BG1174">
        <v>17765.759999999998</v>
      </c>
      <c r="BH1174">
        <v>4694.45</v>
      </c>
      <c r="BI1174">
        <v>0</v>
      </c>
      <c r="BJ1174">
        <v>-51.95</v>
      </c>
      <c r="BK1174">
        <v>3664.04</v>
      </c>
      <c r="BL1174">
        <v>30624.83</v>
      </c>
      <c r="BM1174">
        <v>4699</v>
      </c>
      <c r="BP1174" s="3">
        <v>45331</v>
      </c>
      <c r="BQ1174">
        <v>4981.29</v>
      </c>
      <c r="BR1174" s="3">
        <v>45509</v>
      </c>
      <c r="BS1174" t="s">
        <v>1320</v>
      </c>
    </row>
    <row r="1175" spans="1:71" x14ac:dyDescent="0.25">
      <c r="A1175" t="s">
        <v>1321</v>
      </c>
      <c r="B1175" t="s">
        <v>48</v>
      </c>
      <c r="C1175" s="2">
        <f>HYPERLINK("https://szao.dolgi.msk.ru/account/3470599285/", 3470599285)</f>
        <v>3470599285</v>
      </c>
      <c r="D1175" t="s">
        <v>29</v>
      </c>
      <c r="E1175">
        <v>79727.53</v>
      </c>
      <c r="AX1175">
        <v>18.690000000000001</v>
      </c>
      <c r="AY1175">
        <v>18.7</v>
      </c>
      <c r="AZ1175" t="s">
        <v>56</v>
      </c>
      <c r="BA1175" t="s">
        <v>36</v>
      </c>
      <c r="BB1175">
        <v>79727.53</v>
      </c>
      <c r="BC1175">
        <v>79727.53</v>
      </c>
      <c r="BD1175">
        <v>79727.53</v>
      </c>
      <c r="BE1175">
        <v>79727.53</v>
      </c>
      <c r="BF1175">
        <v>75464.22</v>
      </c>
      <c r="BG1175">
        <v>26668.5</v>
      </c>
      <c r="BH1175">
        <v>0</v>
      </c>
      <c r="BI1175">
        <v>0</v>
      </c>
      <c r="BJ1175">
        <v>0</v>
      </c>
      <c r="BK1175">
        <v>0</v>
      </c>
      <c r="BL1175">
        <v>45574.67</v>
      </c>
      <c r="BM1175">
        <v>7484.36</v>
      </c>
      <c r="BR1175" s="3">
        <v>45229</v>
      </c>
      <c r="BS1175" t="s">
        <v>128</v>
      </c>
    </row>
    <row r="1176" spans="1:71" x14ac:dyDescent="0.25">
      <c r="A1176" t="s">
        <v>1321</v>
      </c>
      <c r="B1176" t="s">
        <v>52</v>
      </c>
      <c r="C1176" s="2">
        <f>HYPERLINK("https://szao.dolgi.msk.ru/account/3470468576/", 3470468576)</f>
        <v>3470468576</v>
      </c>
      <c r="D1176" t="s">
        <v>29</v>
      </c>
      <c r="E1176">
        <v>8055.67</v>
      </c>
      <c r="AX1176">
        <v>2.65</v>
      </c>
      <c r="AY1176">
        <v>2.62</v>
      </c>
      <c r="AZ1176" t="s">
        <v>30</v>
      </c>
      <c r="BA1176" t="s">
        <v>31</v>
      </c>
      <c r="BB1176">
        <v>8055.67</v>
      </c>
      <c r="BC1176">
        <v>8055.67</v>
      </c>
      <c r="BD1176">
        <v>8055.67</v>
      </c>
      <c r="BE1176">
        <v>8055.67</v>
      </c>
      <c r="BF1176">
        <v>4985.16</v>
      </c>
      <c r="BG1176">
        <v>2173.2199999999998</v>
      </c>
      <c r="BH1176">
        <v>1370.16</v>
      </c>
      <c r="BI1176">
        <v>0</v>
      </c>
      <c r="BJ1176">
        <v>0</v>
      </c>
      <c r="BK1176">
        <v>1049.56</v>
      </c>
      <c r="BL1176">
        <v>2958.82</v>
      </c>
      <c r="BM1176">
        <v>503.91</v>
      </c>
      <c r="BP1176" s="3">
        <v>45642</v>
      </c>
      <c r="BQ1176">
        <v>5300.08</v>
      </c>
      <c r="BR1176" s="3">
        <v>45481</v>
      </c>
      <c r="BS1176" t="s">
        <v>1322</v>
      </c>
    </row>
    <row r="1177" spans="1:71" x14ac:dyDescent="0.25">
      <c r="A1177" t="s">
        <v>1321</v>
      </c>
      <c r="B1177" t="s">
        <v>165</v>
      </c>
      <c r="C1177" s="2">
        <f>HYPERLINK("https://szao.dolgi.msk.ru/account/3470468672/", 3470468672)</f>
        <v>3470468672</v>
      </c>
      <c r="D1177" t="s">
        <v>29</v>
      </c>
      <c r="E1177">
        <v>51437.15</v>
      </c>
      <c r="AX1177">
        <v>20.46</v>
      </c>
      <c r="AY1177">
        <v>29.07</v>
      </c>
      <c r="AZ1177" t="s">
        <v>40</v>
      </c>
      <c r="BA1177" t="s">
        <v>36</v>
      </c>
      <c r="BB1177">
        <v>51437.15</v>
      </c>
      <c r="BC1177">
        <v>51437.15</v>
      </c>
      <c r="BD1177">
        <v>51437.15</v>
      </c>
      <c r="BE1177">
        <v>51437.15</v>
      </c>
      <c r="BF1177">
        <v>49667.67</v>
      </c>
      <c r="BG1177">
        <v>5160.84</v>
      </c>
      <c r="BH1177">
        <v>20231.080000000002</v>
      </c>
      <c r="BI1177">
        <v>0</v>
      </c>
      <c r="BJ1177">
        <v>0</v>
      </c>
      <c r="BK1177">
        <v>15874.58</v>
      </c>
      <c r="BL1177">
        <v>8773.2199999999993</v>
      </c>
      <c r="BM1177">
        <v>1397.43</v>
      </c>
      <c r="BP1177" s="3">
        <v>45653</v>
      </c>
      <c r="BQ1177">
        <v>1611.55</v>
      </c>
      <c r="BR1177" s="3">
        <v>45568</v>
      </c>
      <c r="BS1177" t="s">
        <v>1323</v>
      </c>
    </row>
    <row r="1178" spans="1:71" x14ac:dyDescent="0.25">
      <c r="A1178" t="s">
        <v>1321</v>
      </c>
      <c r="B1178" t="s">
        <v>165</v>
      </c>
      <c r="C1178" s="2">
        <f>HYPERLINK("https://szao.dolgi.msk.ru/account/3470468699/", 3470468699)</f>
        <v>3470468699</v>
      </c>
      <c r="D1178" t="s">
        <v>29</v>
      </c>
      <c r="E1178">
        <v>12607.2</v>
      </c>
      <c r="AX1178">
        <v>5.34</v>
      </c>
      <c r="AY1178">
        <v>5.28</v>
      </c>
      <c r="AZ1178" t="s">
        <v>40</v>
      </c>
      <c r="BA1178" t="s">
        <v>49</v>
      </c>
      <c r="BB1178">
        <v>12607.2</v>
      </c>
      <c r="BC1178">
        <v>12607.2</v>
      </c>
      <c r="BD1178">
        <v>12607.2</v>
      </c>
      <c r="BE1178">
        <v>12607.2</v>
      </c>
      <c r="BF1178">
        <v>10220.370000000001</v>
      </c>
      <c r="BG1178">
        <v>3343.71</v>
      </c>
      <c r="BH1178">
        <v>2720.44</v>
      </c>
      <c r="BI1178">
        <v>0</v>
      </c>
      <c r="BJ1178">
        <v>0</v>
      </c>
      <c r="BK1178">
        <v>2126.15</v>
      </c>
      <c r="BL1178">
        <v>3721.41</v>
      </c>
      <c r="BM1178">
        <v>695.49</v>
      </c>
      <c r="BN1178">
        <v>2090</v>
      </c>
      <c r="BP1178" s="3">
        <v>45671</v>
      </c>
      <c r="BQ1178">
        <v>2090</v>
      </c>
      <c r="BR1178" s="3">
        <v>45282</v>
      </c>
      <c r="BS1178" t="s">
        <v>1324</v>
      </c>
    </row>
    <row r="1179" spans="1:71" x14ac:dyDescent="0.25">
      <c r="A1179" t="s">
        <v>1321</v>
      </c>
      <c r="B1179" t="s">
        <v>413</v>
      </c>
      <c r="C1179" s="2">
        <f>HYPERLINK("https://szao.dolgi.msk.ru/account/3470469245/", 3470469245)</f>
        <v>3470469245</v>
      </c>
      <c r="D1179" t="s">
        <v>29</v>
      </c>
      <c r="E1179">
        <v>4435.55</v>
      </c>
      <c r="AX1179">
        <v>5.77</v>
      </c>
      <c r="AY1179">
        <v>3.46</v>
      </c>
      <c r="AZ1179" t="s">
        <v>40</v>
      </c>
      <c r="BA1179" t="s">
        <v>49</v>
      </c>
      <c r="BB1179">
        <v>4435.55</v>
      </c>
      <c r="BC1179">
        <v>4435.55</v>
      </c>
      <c r="BD1179">
        <v>5947.72</v>
      </c>
      <c r="BE1179">
        <v>5947.72</v>
      </c>
      <c r="BF1179">
        <v>3154.98</v>
      </c>
      <c r="BG1179">
        <v>3116.73</v>
      </c>
      <c r="BH1179">
        <v>1976.68</v>
      </c>
      <c r="BI1179">
        <v>0</v>
      </c>
      <c r="BJ1179">
        <v>0</v>
      </c>
      <c r="BK1179">
        <v>-604.65</v>
      </c>
      <c r="BL1179">
        <v>-907.52</v>
      </c>
      <c r="BM1179">
        <v>854.31</v>
      </c>
      <c r="BN1179">
        <v>14035.01</v>
      </c>
      <c r="BO1179">
        <v>1214.99</v>
      </c>
      <c r="BP1179" s="3">
        <v>45684</v>
      </c>
      <c r="BQ1179">
        <v>1951.16</v>
      </c>
      <c r="BR1179" s="3">
        <v>45509</v>
      </c>
      <c r="BS1179" t="s">
        <v>1325</v>
      </c>
    </row>
    <row r="1180" spans="1:71" x14ac:dyDescent="0.25">
      <c r="A1180" t="s">
        <v>1326</v>
      </c>
      <c r="B1180" t="s">
        <v>136</v>
      </c>
      <c r="C1180" s="2">
        <f>HYPERLINK("https://szao.dolgi.msk.ru/account/3470288284/", 3470288284)</f>
        <v>3470288284</v>
      </c>
      <c r="D1180" t="s">
        <v>29</v>
      </c>
      <c r="E1180">
        <v>133815.29</v>
      </c>
      <c r="AX1180">
        <v>29.5</v>
      </c>
      <c r="AY1180">
        <v>27.52</v>
      </c>
      <c r="AZ1180" t="s">
        <v>30</v>
      </c>
      <c r="BA1180" t="s">
        <v>36</v>
      </c>
      <c r="BB1180">
        <v>133815.29</v>
      </c>
      <c r="BC1180">
        <v>133815.29</v>
      </c>
      <c r="BD1180">
        <v>133815.29</v>
      </c>
      <c r="BE1180">
        <v>133815.29</v>
      </c>
      <c r="BF1180">
        <v>128953.04</v>
      </c>
      <c r="BG1180">
        <v>31199.83</v>
      </c>
      <c r="BH1180">
        <v>32720.55</v>
      </c>
      <c r="BI1180">
        <v>0</v>
      </c>
      <c r="BJ1180">
        <v>0</v>
      </c>
      <c r="BK1180">
        <v>4178.6099999999997</v>
      </c>
      <c r="BL1180">
        <v>58509.49</v>
      </c>
      <c r="BM1180">
        <v>7206.81</v>
      </c>
      <c r="BP1180" s="3">
        <v>45643</v>
      </c>
      <c r="BQ1180">
        <v>4297.3</v>
      </c>
      <c r="BR1180" s="3">
        <v>45363</v>
      </c>
      <c r="BS1180" t="s">
        <v>1327</v>
      </c>
    </row>
    <row r="1181" spans="1:71" x14ac:dyDescent="0.25">
      <c r="A1181" t="s">
        <v>1326</v>
      </c>
      <c r="B1181" t="s">
        <v>98</v>
      </c>
      <c r="C1181" s="2">
        <f>HYPERLINK("https://szao.dolgi.msk.ru/account/3470416805/", 3470416805)</f>
        <v>3470416805</v>
      </c>
      <c r="D1181" t="s">
        <v>29</v>
      </c>
      <c r="E1181">
        <v>31760.27</v>
      </c>
      <c r="AX1181">
        <v>8.86</v>
      </c>
      <c r="AY1181">
        <v>5.38</v>
      </c>
      <c r="AZ1181" t="s">
        <v>40</v>
      </c>
      <c r="BA1181" t="s">
        <v>66</v>
      </c>
      <c r="BB1181">
        <v>31760.27</v>
      </c>
      <c r="BC1181">
        <v>31760.27</v>
      </c>
      <c r="BD1181">
        <v>31760.27</v>
      </c>
      <c r="BE1181">
        <v>31760.27</v>
      </c>
      <c r="BF1181">
        <v>25858.47</v>
      </c>
      <c r="BG1181">
        <v>6631.6</v>
      </c>
      <c r="BH1181">
        <v>6732.73</v>
      </c>
      <c r="BI1181">
        <v>0</v>
      </c>
      <c r="BJ1181">
        <v>0</v>
      </c>
      <c r="BK1181">
        <v>5223.43</v>
      </c>
      <c r="BL1181">
        <v>11442.19</v>
      </c>
      <c r="BM1181">
        <v>1730.32</v>
      </c>
      <c r="BP1181" s="3">
        <v>45636</v>
      </c>
      <c r="BQ1181">
        <v>3494.78</v>
      </c>
      <c r="BR1181" s="3">
        <v>45530</v>
      </c>
      <c r="BS1181" t="s">
        <v>1328</v>
      </c>
    </row>
    <row r="1182" spans="1:71" x14ac:dyDescent="0.25">
      <c r="A1182" t="s">
        <v>1326</v>
      </c>
      <c r="B1182" t="s">
        <v>364</v>
      </c>
      <c r="C1182" s="2">
        <f>HYPERLINK("https://szao.dolgi.msk.ru/account/3470288225/", 3470288225)</f>
        <v>3470288225</v>
      </c>
      <c r="D1182" t="s">
        <v>29</v>
      </c>
      <c r="E1182">
        <v>13923.51</v>
      </c>
      <c r="AX1182">
        <v>2.37</v>
      </c>
      <c r="AY1182">
        <v>1.89</v>
      </c>
      <c r="AZ1182" t="s">
        <v>40</v>
      </c>
      <c r="BA1182" t="s">
        <v>31</v>
      </c>
      <c r="BB1182">
        <v>13923.51</v>
      </c>
      <c r="BC1182">
        <v>13923.51</v>
      </c>
      <c r="BD1182">
        <v>13923.51</v>
      </c>
      <c r="BE1182">
        <v>13923.51</v>
      </c>
      <c r="BF1182">
        <v>6551.2</v>
      </c>
      <c r="BG1182">
        <v>4995.96</v>
      </c>
      <c r="BH1182">
        <v>501.52</v>
      </c>
      <c r="BI1182">
        <v>0</v>
      </c>
      <c r="BJ1182">
        <v>0</v>
      </c>
      <c r="BK1182">
        <v>1652.76</v>
      </c>
      <c r="BL1182">
        <v>6371.31</v>
      </c>
      <c r="BM1182">
        <v>401.96</v>
      </c>
      <c r="BN1182">
        <v>6731.97</v>
      </c>
      <c r="BP1182" s="3">
        <v>45685</v>
      </c>
      <c r="BQ1182">
        <v>6731.97</v>
      </c>
      <c r="BR1182" s="3">
        <v>45531</v>
      </c>
      <c r="BS1182" t="s">
        <v>561</v>
      </c>
    </row>
    <row r="1183" spans="1:71" x14ac:dyDescent="0.25">
      <c r="A1183" t="s">
        <v>1329</v>
      </c>
      <c r="B1183" t="s">
        <v>397</v>
      </c>
      <c r="C1183" s="2">
        <f>HYPERLINK("https://szao.dolgi.msk.ru/account/3470334391/", 3470334391)</f>
        <v>3470334391</v>
      </c>
      <c r="D1183" t="s">
        <v>29</v>
      </c>
      <c r="E1183">
        <v>126676.61</v>
      </c>
      <c r="AX1183">
        <v>13.57</v>
      </c>
      <c r="AY1183">
        <v>13.61</v>
      </c>
      <c r="AZ1183" t="s">
        <v>56</v>
      </c>
      <c r="BA1183" t="s">
        <v>36</v>
      </c>
      <c r="BB1183">
        <v>126676.61</v>
      </c>
      <c r="BC1183">
        <v>126676.61</v>
      </c>
      <c r="BD1183">
        <v>126676.61</v>
      </c>
      <c r="BE1183">
        <v>126676.61</v>
      </c>
      <c r="BF1183">
        <v>117371.96</v>
      </c>
      <c r="BG1183">
        <v>12461.88</v>
      </c>
      <c r="BH1183">
        <v>16860.349999999999</v>
      </c>
      <c r="BI1183">
        <v>42772.73</v>
      </c>
      <c r="BJ1183">
        <v>11634.85</v>
      </c>
      <c r="BK1183">
        <v>22306.87</v>
      </c>
      <c r="BL1183">
        <v>17600.54</v>
      </c>
      <c r="BM1183">
        <v>3039.39</v>
      </c>
      <c r="BP1183" s="3">
        <v>45564</v>
      </c>
      <c r="BQ1183">
        <v>1000</v>
      </c>
      <c r="BR1183" s="3">
        <v>45531</v>
      </c>
      <c r="BS1183" t="s">
        <v>1330</v>
      </c>
    </row>
    <row r="1184" spans="1:71" x14ac:dyDescent="0.25">
      <c r="A1184" t="s">
        <v>1329</v>
      </c>
      <c r="B1184" t="s">
        <v>207</v>
      </c>
      <c r="C1184" s="2">
        <f>HYPERLINK("https://szao.dolgi.msk.ru/account/3470416741/", 3470416741)</f>
        <v>3470416741</v>
      </c>
      <c r="D1184" t="s">
        <v>29</v>
      </c>
      <c r="E1184">
        <v>7959.94</v>
      </c>
      <c r="AX1184">
        <v>2.1800000000000002</v>
      </c>
      <c r="AY1184">
        <v>2.12</v>
      </c>
      <c r="AZ1184" t="s">
        <v>30</v>
      </c>
      <c r="BA1184" t="s">
        <v>31</v>
      </c>
      <c r="BB1184">
        <v>7959.94</v>
      </c>
      <c r="BC1184">
        <v>7959.94</v>
      </c>
      <c r="BD1184">
        <v>7959.94</v>
      </c>
      <c r="BE1184">
        <v>7959.94</v>
      </c>
      <c r="BF1184">
        <v>4199.47</v>
      </c>
      <c r="BG1184">
        <v>2509.6</v>
      </c>
      <c r="BH1184">
        <v>299</v>
      </c>
      <c r="BI1184">
        <v>1061.7</v>
      </c>
      <c r="BJ1184">
        <v>299</v>
      </c>
      <c r="BK1184">
        <v>459.1</v>
      </c>
      <c r="BL1184">
        <v>2816.32</v>
      </c>
      <c r="BM1184">
        <v>515.22</v>
      </c>
      <c r="BP1184" s="3">
        <v>45637</v>
      </c>
      <c r="BQ1184">
        <v>7859.43</v>
      </c>
      <c r="BR1184" s="3">
        <v>45509</v>
      </c>
      <c r="BS1184" t="s">
        <v>1331</v>
      </c>
    </row>
    <row r="1185" spans="1:71" x14ac:dyDescent="0.25">
      <c r="A1185" t="s">
        <v>1329</v>
      </c>
      <c r="B1185" t="s">
        <v>366</v>
      </c>
      <c r="C1185" s="2">
        <f>HYPERLINK("https://szao.dolgi.msk.ru/account/3470334279/", 3470334279)</f>
        <v>3470334279</v>
      </c>
      <c r="D1185" t="s">
        <v>29</v>
      </c>
      <c r="E1185">
        <v>71449.259999999995</v>
      </c>
      <c r="AX1185">
        <v>2.94</v>
      </c>
      <c r="AY1185">
        <v>2.95</v>
      </c>
      <c r="AZ1185" t="s">
        <v>40</v>
      </c>
      <c r="BA1185" t="s">
        <v>31</v>
      </c>
      <c r="BB1185">
        <v>71449.259999999995</v>
      </c>
      <c r="BC1185">
        <v>71449.259999999995</v>
      </c>
      <c r="BD1185">
        <v>71449.259999999995</v>
      </c>
      <c r="BE1185">
        <v>71449.259999999995</v>
      </c>
      <c r="BF1185">
        <v>47202.09</v>
      </c>
      <c r="BG1185">
        <v>4582.3900000000003</v>
      </c>
      <c r="BH1185">
        <v>11116.99</v>
      </c>
      <c r="BI1185">
        <v>27008.93</v>
      </c>
      <c r="BJ1185">
        <v>7606.36</v>
      </c>
      <c r="BK1185">
        <v>14374.39</v>
      </c>
      <c r="BL1185">
        <v>5798.49</v>
      </c>
      <c r="BM1185">
        <v>961.71</v>
      </c>
      <c r="BP1185" s="3">
        <v>45625</v>
      </c>
      <c r="BQ1185">
        <v>23818.04</v>
      </c>
    </row>
    <row r="1186" spans="1:71" x14ac:dyDescent="0.25">
      <c r="A1186" t="s">
        <v>1329</v>
      </c>
      <c r="B1186" t="s">
        <v>714</v>
      </c>
      <c r="C1186" s="2">
        <f>HYPERLINK("https://szao.dolgi.msk.ru/account/3470410577/", 3470410577)</f>
        <v>3470410577</v>
      </c>
      <c r="D1186" t="s">
        <v>29</v>
      </c>
      <c r="E1186">
        <v>295700.53000000003</v>
      </c>
      <c r="AX1186">
        <v>12.41</v>
      </c>
      <c r="AY1186">
        <v>12.2</v>
      </c>
      <c r="AZ1186" t="s">
        <v>45</v>
      </c>
      <c r="BA1186" t="s">
        <v>36</v>
      </c>
      <c r="BB1186">
        <v>295700.53000000003</v>
      </c>
      <c r="BC1186">
        <v>295700.53000000003</v>
      </c>
      <c r="BD1186">
        <v>295700.53000000003</v>
      </c>
      <c r="BE1186">
        <v>295700.53000000003</v>
      </c>
      <c r="BF1186">
        <v>271462.65999999997</v>
      </c>
      <c r="BG1186">
        <v>12337.82</v>
      </c>
      <c r="BH1186">
        <v>46576.92</v>
      </c>
      <c r="BI1186">
        <v>122542.37</v>
      </c>
      <c r="BJ1186">
        <v>33364.699999999997</v>
      </c>
      <c r="BK1186">
        <v>53669.18</v>
      </c>
      <c r="BL1186">
        <v>22288.33</v>
      </c>
      <c r="BM1186">
        <v>4921.21</v>
      </c>
      <c r="BP1186" s="3">
        <v>45380</v>
      </c>
      <c r="BQ1186">
        <v>10007.67</v>
      </c>
      <c r="BR1186" s="3">
        <v>44810</v>
      </c>
      <c r="BS1186" t="s">
        <v>1332</v>
      </c>
    </row>
    <row r="1187" spans="1:71" x14ac:dyDescent="0.25">
      <c r="A1187" t="s">
        <v>1329</v>
      </c>
      <c r="B1187" t="s">
        <v>1333</v>
      </c>
      <c r="C1187" s="2">
        <f>HYPERLINK("https://szao.dolgi.msk.ru/account/3470333727/", 3470333727)</f>
        <v>3470333727</v>
      </c>
      <c r="D1187" t="s">
        <v>29</v>
      </c>
      <c r="E1187">
        <v>234633.18</v>
      </c>
      <c r="AX1187">
        <v>46.94</v>
      </c>
      <c r="AY1187">
        <v>43.62</v>
      </c>
      <c r="AZ1187" t="s">
        <v>56</v>
      </c>
      <c r="BA1187" t="s">
        <v>36</v>
      </c>
      <c r="BB1187">
        <v>234633.18</v>
      </c>
      <c r="BC1187">
        <v>234633.18</v>
      </c>
      <c r="BD1187">
        <v>234633.18</v>
      </c>
      <c r="BE1187">
        <v>234633.18</v>
      </c>
      <c r="BF1187">
        <v>229596.73</v>
      </c>
      <c r="BG1187">
        <v>60632.61</v>
      </c>
      <c r="BH1187">
        <v>16086.72</v>
      </c>
      <c r="BI1187">
        <v>38635.370000000003</v>
      </c>
      <c r="BJ1187">
        <v>10199.219999999999</v>
      </c>
      <c r="BK1187">
        <v>20070.349999999999</v>
      </c>
      <c r="BL1187">
        <v>77778.14</v>
      </c>
      <c r="BM1187">
        <v>11230.77</v>
      </c>
      <c r="BP1187" s="3">
        <v>45307</v>
      </c>
      <c r="BQ1187">
        <v>490.66</v>
      </c>
      <c r="BR1187" s="3">
        <v>45671</v>
      </c>
      <c r="BS1187" t="s">
        <v>1334</v>
      </c>
    </row>
    <row r="1188" spans="1:71" x14ac:dyDescent="0.25">
      <c r="A1188" t="s">
        <v>1329</v>
      </c>
      <c r="B1188" t="s">
        <v>1335</v>
      </c>
      <c r="C1188" s="2">
        <f>HYPERLINK("https://szao.dolgi.msk.ru/account/3470336012/", 3470336012)</f>
        <v>3470336012</v>
      </c>
      <c r="D1188" t="s">
        <v>29</v>
      </c>
      <c r="E1188">
        <v>211985.56</v>
      </c>
      <c r="AX1188">
        <v>33.950000000000003</v>
      </c>
      <c r="AY1188">
        <v>33.340000000000003</v>
      </c>
      <c r="AZ1188" t="s">
        <v>30</v>
      </c>
      <c r="BA1188" t="s">
        <v>36</v>
      </c>
      <c r="BB1188">
        <v>211985.56</v>
      </c>
      <c r="BC1188">
        <v>211985.56</v>
      </c>
      <c r="BD1188">
        <v>211985.56</v>
      </c>
      <c r="BE1188">
        <v>211985.56</v>
      </c>
      <c r="BF1188">
        <v>205627.33</v>
      </c>
      <c r="BG1188">
        <v>56892.22</v>
      </c>
      <c r="BH1188">
        <v>18155.87</v>
      </c>
      <c r="BI1188">
        <v>35291.06</v>
      </c>
      <c r="BJ1188">
        <v>9650.32</v>
      </c>
      <c r="BK1188">
        <v>21019.83</v>
      </c>
      <c r="BL1188">
        <v>60566.66</v>
      </c>
      <c r="BM1188">
        <v>10409.6</v>
      </c>
      <c r="BN1188">
        <v>10321.89</v>
      </c>
      <c r="BP1188" s="3">
        <v>45671</v>
      </c>
      <c r="BQ1188">
        <v>10321.89</v>
      </c>
      <c r="BR1188" s="3">
        <v>45355</v>
      </c>
      <c r="BS1188" t="s">
        <v>1336</v>
      </c>
    </row>
    <row r="1189" spans="1:71" x14ac:dyDescent="0.25">
      <c r="A1189" t="s">
        <v>1329</v>
      </c>
      <c r="B1189" t="s">
        <v>1337</v>
      </c>
      <c r="C1189" s="2">
        <f>HYPERLINK("https://szao.dolgi.msk.ru/account/3470333436/", 3470333436)</f>
        <v>3470333436</v>
      </c>
      <c r="D1189" t="s">
        <v>29</v>
      </c>
      <c r="E1189">
        <v>27652.66</v>
      </c>
      <c r="AX1189">
        <v>2.84</v>
      </c>
      <c r="AY1189">
        <v>2.79</v>
      </c>
      <c r="AZ1189" t="s">
        <v>30</v>
      </c>
      <c r="BA1189" t="s">
        <v>31</v>
      </c>
      <c r="BB1189">
        <v>27652.66</v>
      </c>
      <c r="BC1189">
        <v>27652.66</v>
      </c>
      <c r="BD1189">
        <v>27652.66</v>
      </c>
      <c r="BE1189">
        <v>27652.66</v>
      </c>
      <c r="BF1189">
        <v>17743.09</v>
      </c>
      <c r="BG1189">
        <v>3625.89</v>
      </c>
      <c r="BH1189">
        <v>3408.9</v>
      </c>
      <c r="BI1189">
        <v>8606.2099999999991</v>
      </c>
      <c r="BJ1189">
        <v>2332.41</v>
      </c>
      <c r="BK1189">
        <v>4468.7</v>
      </c>
      <c r="BL1189">
        <v>4450.1099999999997</v>
      </c>
      <c r="BM1189">
        <v>760.44</v>
      </c>
      <c r="BP1189" s="3">
        <v>45652</v>
      </c>
      <c r="BQ1189">
        <v>19207.8</v>
      </c>
    </row>
    <row r="1190" spans="1:71" x14ac:dyDescent="0.25">
      <c r="A1190" t="s">
        <v>1329</v>
      </c>
      <c r="B1190" t="s">
        <v>533</v>
      </c>
      <c r="C1190" s="2">
        <f>HYPERLINK("https://szao.dolgi.msk.ru/account/3470336338/", 3470336338)</f>
        <v>3470336338</v>
      </c>
      <c r="D1190" t="s">
        <v>29</v>
      </c>
      <c r="E1190">
        <v>10500.27</v>
      </c>
      <c r="AX1190">
        <v>2.33</v>
      </c>
      <c r="AY1190">
        <v>2.2400000000000002</v>
      </c>
      <c r="AZ1190" t="s">
        <v>40</v>
      </c>
      <c r="BA1190" t="s">
        <v>31</v>
      </c>
      <c r="BB1190">
        <v>10500.27</v>
      </c>
      <c r="BC1190">
        <v>9879.5300000000007</v>
      </c>
      <c r="BD1190">
        <v>10500.27</v>
      </c>
      <c r="BE1190">
        <v>9879.5300000000007</v>
      </c>
      <c r="BF1190">
        <v>5816.93</v>
      </c>
      <c r="BG1190">
        <v>4498.49</v>
      </c>
      <c r="BH1190">
        <v>674.21</v>
      </c>
      <c r="BI1190">
        <v>1125.32</v>
      </c>
      <c r="BJ1190">
        <v>301.55</v>
      </c>
      <c r="BK1190">
        <v>763.89</v>
      </c>
      <c r="BL1190">
        <v>2666.5</v>
      </c>
      <c r="BM1190">
        <v>470.31</v>
      </c>
      <c r="BP1190" s="3">
        <v>45651</v>
      </c>
      <c r="BQ1190">
        <v>4148.91</v>
      </c>
      <c r="BR1190" s="3">
        <v>45503</v>
      </c>
      <c r="BS1190" t="s">
        <v>1338</v>
      </c>
    </row>
    <row r="1191" spans="1:71" x14ac:dyDescent="0.25">
      <c r="A1191" t="s">
        <v>1329</v>
      </c>
      <c r="B1191" t="s">
        <v>1339</v>
      </c>
      <c r="C1191" s="2">
        <f>HYPERLINK("https://szao.dolgi.msk.ru/account/3470336311/", 3470336311)</f>
        <v>3470336311</v>
      </c>
      <c r="D1191" t="s">
        <v>29</v>
      </c>
      <c r="E1191">
        <v>14438.07</v>
      </c>
      <c r="AX1191">
        <v>3.74</v>
      </c>
      <c r="AY1191">
        <v>3.75</v>
      </c>
      <c r="AZ1191" t="s">
        <v>69</v>
      </c>
      <c r="BA1191" t="s">
        <v>49</v>
      </c>
      <c r="BB1191">
        <v>14438.07</v>
      </c>
      <c r="BC1191">
        <v>14438.07</v>
      </c>
      <c r="BD1191">
        <v>14438.07</v>
      </c>
      <c r="BE1191">
        <v>14438.07</v>
      </c>
      <c r="BF1191">
        <v>10591.75</v>
      </c>
      <c r="BG1191">
        <v>5925.83</v>
      </c>
      <c r="BH1191">
        <v>537.59</v>
      </c>
      <c r="BI1191">
        <v>68.13</v>
      </c>
      <c r="BJ1191">
        <v>19.190000000000001</v>
      </c>
      <c r="BK1191">
        <v>427.45</v>
      </c>
      <c r="BL1191">
        <v>6398.64</v>
      </c>
      <c r="BM1191">
        <v>1061.24</v>
      </c>
      <c r="BP1191" s="3">
        <v>45604</v>
      </c>
      <c r="BQ1191">
        <v>8532.69</v>
      </c>
      <c r="BR1191" s="3">
        <v>45063</v>
      </c>
      <c r="BS1191" t="s">
        <v>1340</v>
      </c>
    </row>
    <row r="1192" spans="1:71" x14ac:dyDescent="0.25">
      <c r="A1192" t="s">
        <v>1329</v>
      </c>
      <c r="B1192" t="s">
        <v>75</v>
      </c>
      <c r="C1192" s="2">
        <f>HYPERLINK("https://szao.dolgi.msk.ru/account/3470335562/", 3470335562)</f>
        <v>3470335562</v>
      </c>
      <c r="D1192" t="s">
        <v>29</v>
      </c>
      <c r="E1192">
        <v>33571.5</v>
      </c>
      <c r="AX1192">
        <v>2.86</v>
      </c>
      <c r="AY1192">
        <v>2.78</v>
      </c>
      <c r="AZ1192" t="s">
        <v>30</v>
      </c>
      <c r="BA1192" t="s">
        <v>31</v>
      </c>
      <c r="BB1192">
        <v>33571.5</v>
      </c>
      <c r="BC1192">
        <v>33571.5</v>
      </c>
      <c r="BD1192">
        <v>33571.5</v>
      </c>
      <c r="BE1192">
        <v>33571.5</v>
      </c>
      <c r="BF1192">
        <v>21475.53</v>
      </c>
      <c r="BG1192">
        <v>3523.3</v>
      </c>
      <c r="BH1192">
        <v>4660.9799999999996</v>
      </c>
      <c r="BI1192">
        <v>11090.08</v>
      </c>
      <c r="BJ1192">
        <v>3123.22</v>
      </c>
      <c r="BK1192">
        <v>5976.15</v>
      </c>
      <c r="BL1192">
        <v>4458.33</v>
      </c>
      <c r="BM1192">
        <v>739.44</v>
      </c>
      <c r="BP1192" s="3">
        <v>45645</v>
      </c>
      <c r="BQ1192">
        <v>23556.880000000001</v>
      </c>
    </row>
    <row r="1193" spans="1:71" x14ac:dyDescent="0.25">
      <c r="A1193" t="s">
        <v>1329</v>
      </c>
      <c r="B1193" t="s">
        <v>1341</v>
      </c>
      <c r="C1193" s="2">
        <f>HYPERLINK("https://szao.dolgi.msk.ru/account/3470421401/", 3470421401)</f>
        <v>3470421401</v>
      </c>
      <c r="D1193" t="s">
        <v>29</v>
      </c>
      <c r="E1193">
        <v>28416.85</v>
      </c>
      <c r="AX1193">
        <v>3.65</v>
      </c>
      <c r="AY1193">
        <v>3.66</v>
      </c>
      <c r="AZ1193" t="s">
        <v>69</v>
      </c>
      <c r="BA1193" t="s">
        <v>49</v>
      </c>
      <c r="BB1193">
        <v>28416.85</v>
      </c>
      <c r="BC1193">
        <v>28416.85</v>
      </c>
      <c r="BD1193">
        <v>28416.85</v>
      </c>
      <c r="BE1193">
        <v>28416.85</v>
      </c>
      <c r="BF1193">
        <v>20642.36</v>
      </c>
      <c r="BG1193">
        <v>7523.36</v>
      </c>
      <c r="BH1193">
        <v>2541.5100000000002</v>
      </c>
      <c r="BI1193">
        <v>3362.05</v>
      </c>
      <c r="BJ1193">
        <v>946.84</v>
      </c>
      <c r="BK1193">
        <v>2678.09</v>
      </c>
      <c r="BL1193">
        <v>9748.2000000000007</v>
      </c>
      <c r="BM1193">
        <v>1616.8</v>
      </c>
      <c r="BP1193" s="3">
        <v>45601</v>
      </c>
      <c r="BQ1193">
        <v>3274.16</v>
      </c>
      <c r="BR1193" s="3">
        <v>45481</v>
      </c>
      <c r="BS1193" t="s">
        <v>1342</v>
      </c>
    </row>
    <row r="1194" spans="1:71" x14ac:dyDescent="0.25">
      <c r="A1194" t="s">
        <v>1329</v>
      </c>
      <c r="B1194" t="s">
        <v>1343</v>
      </c>
      <c r="C1194" s="2">
        <f>HYPERLINK("https://szao.dolgi.msk.ru/account/3470421444/", 3470421444)</f>
        <v>3470421444</v>
      </c>
      <c r="D1194" t="s">
        <v>29</v>
      </c>
      <c r="E1194">
        <v>27682.92</v>
      </c>
      <c r="AX1194">
        <v>3.27</v>
      </c>
      <c r="AY1194">
        <v>3.41</v>
      </c>
      <c r="AZ1194" t="s">
        <v>30</v>
      </c>
      <c r="BA1194" t="s">
        <v>49</v>
      </c>
      <c r="BB1194">
        <v>27682.92</v>
      </c>
      <c r="BC1194">
        <v>27682.92</v>
      </c>
      <c r="BD1194">
        <v>27682.92</v>
      </c>
      <c r="BE1194">
        <v>27682.92</v>
      </c>
      <c r="BF1194">
        <v>19568.39</v>
      </c>
      <c r="BG1194">
        <v>7488.1</v>
      </c>
      <c r="BH1194">
        <v>2134.54</v>
      </c>
      <c r="BI1194">
        <v>3591.38</v>
      </c>
      <c r="BJ1194">
        <v>1011.41</v>
      </c>
      <c r="BK1194">
        <v>2415.23</v>
      </c>
      <c r="BL1194">
        <v>9471.3799999999992</v>
      </c>
      <c r="BM1194">
        <v>1570.88</v>
      </c>
      <c r="BP1194" s="3">
        <v>45614</v>
      </c>
      <c r="BQ1194">
        <v>11756.75</v>
      </c>
      <c r="BR1194" s="3">
        <v>45201</v>
      </c>
      <c r="BS1194" t="s">
        <v>1344</v>
      </c>
    </row>
    <row r="1195" spans="1:71" x14ac:dyDescent="0.25">
      <c r="A1195" t="s">
        <v>1329</v>
      </c>
      <c r="B1195" t="s">
        <v>1345</v>
      </c>
      <c r="C1195" s="2">
        <f>HYPERLINK("https://szao.dolgi.msk.ru/account/3470336928/", 3470336928)</f>
        <v>3470336928</v>
      </c>
      <c r="D1195" t="s">
        <v>29</v>
      </c>
      <c r="E1195">
        <v>2761.96</v>
      </c>
      <c r="AX1195">
        <v>4.96</v>
      </c>
      <c r="AY1195">
        <v>0.96</v>
      </c>
      <c r="AZ1195" t="s">
        <v>35</v>
      </c>
      <c r="BA1195" t="s">
        <v>49</v>
      </c>
      <c r="BB1195">
        <v>2761.96</v>
      </c>
      <c r="BC1195">
        <v>2761.96</v>
      </c>
      <c r="BD1195">
        <v>3104.22</v>
      </c>
      <c r="BE1195">
        <v>3104.22</v>
      </c>
      <c r="BF1195">
        <v>2761.96</v>
      </c>
      <c r="BG1195">
        <v>-342.26</v>
      </c>
      <c r="BH1195">
        <v>615.71</v>
      </c>
      <c r="BI1195">
        <v>712.97</v>
      </c>
      <c r="BJ1195">
        <v>161.86000000000001</v>
      </c>
      <c r="BK1195">
        <v>606.82000000000005</v>
      </c>
      <c r="BL1195">
        <v>1005.13</v>
      </c>
      <c r="BM1195">
        <v>1.73</v>
      </c>
      <c r="BO1195">
        <v>5751.42</v>
      </c>
      <c r="BP1195" s="3">
        <v>45698</v>
      </c>
      <c r="BQ1195">
        <v>2875.71</v>
      </c>
      <c r="BR1195" s="3">
        <v>45306</v>
      </c>
      <c r="BS1195" t="s">
        <v>1346</v>
      </c>
    </row>
    <row r="1196" spans="1:71" x14ac:dyDescent="0.25">
      <c r="A1196" t="s">
        <v>1329</v>
      </c>
      <c r="B1196" t="s">
        <v>1347</v>
      </c>
      <c r="C1196" s="2">
        <f>HYPERLINK("https://szao.dolgi.msk.ru/account/3470456399/", 3470456399)</f>
        <v>3470456399</v>
      </c>
      <c r="D1196" t="s">
        <v>29</v>
      </c>
      <c r="E1196">
        <v>38842.300000000003</v>
      </c>
      <c r="AX1196">
        <v>2.87</v>
      </c>
      <c r="AY1196">
        <v>2.89</v>
      </c>
      <c r="AZ1196" t="s">
        <v>35</v>
      </c>
      <c r="BA1196" t="s">
        <v>31</v>
      </c>
      <c r="BB1196">
        <v>38842.300000000003</v>
      </c>
      <c r="BC1196">
        <v>38842.300000000003</v>
      </c>
      <c r="BD1196">
        <v>38842.300000000003</v>
      </c>
      <c r="BE1196">
        <v>38842.300000000003</v>
      </c>
      <c r="BF1196">
        <v>25424.16</v>
      </c>
      <c r="BG1196">
        <v>7539.43</v>
      </c>
      <c r="BH1196">
        <v>3732.42</v>
      </c>
      <c r="BI1196">
        <v>9067.98</v>
      </c>
      <c r="BJ1196">
        <v>2553.75</v>
      </c>
      <c r="BK1196">
        <v>4826.07</v>
      </c>
      <c r="BL1196">
        <v>9540.33</v>
      </c>
      <c r="BM1196">
        <v>1582.32</v>
      </c>
      <c r="BN1196">
        <v>12712.08</v>
      </c>
      <c r="BP1196" s="3">
        <v>45677</v>
      </c>
      <c r="BQ1196">
        <v>12712.08</v>
      </c>
      <c r="BR1196" s="3">
        <v>44550</v>
      </c>
      <c r="BS1196" t="s">
        <v>1348</v>
      </c>
    </row>
    <row r="1197" spans="1:71" x14ac:dyDescent="0.25">
      <c r="A1197" t="s">
        <v>1329</v>
      </c>
      <c r="B1197" t="s">
        <v>1349</v>
      </c>
      <c r="C1197" s="2">
        <f>HYPERLINK("https://szao.dolgi.msk.ru/account/3470490538/", 3470490538)</f>
        <v>3470490538</v>
      </c>
      <c r="D1197" t="s">
        <v>29</v>
      </c>
      <c r="E1197">
        <v>188774.32</v>
      </c>
      <c r="AX1197">
        <v>47.2</v>
      </c>
      <c r="AY1197">
        <v>39.51</v>
      </c>
      <c r="AZ1197" t="s">
        <v>56</v>
      </c>
      <c r="BA1197" t="s">
        <v>36</v>
      </c>
      <c r="BB1197">
        <v>188774.32</v>
      </c>
      <c r="BC1197">
        <v>188774.32</v>
      </c>
      <c r="BD1197">
        <v>188774.32</v>
      </c>
      <c r="BE1197">
        <v>188774.32</v>
      </c>
      <c r="BF1197">
        <v>183996.6</v>
      </c>
      <c r="BG1197">
        <v>65953.72</v>
      </c>
      <c r="BH1197">
        <v>5457.24</v>
      </c>
      <c r="BI1197">
        <v>11919.89</v>
      </c>
      <c r="BJ1197">
        <v>3642.31</v>
      </c>
      <c r="BK1197">
        <v>5758.17</v>
      </c>
      <c r="BL1197">
        <v>83924.82</v>
      </c>
      <c r="BM1197">
        <v>12118.17</v>
      </c>
      <c r="BR1197" s="3">
        <v>45401</v>
      </c>
      <c r="BS1197" t="s">
        <v>1350</v>
      </c>
    </row>
    <row r="1198" spans="1:71" x14ac:dyDescent="0.25">
      <c r="A1198" t="s">
        <v>1329</v>
      </c>
      <c r="B1198" t="s">
        <v>1351</v>
      </c>
      <c r="C1198" s="2">
        <f>HYPERLINK("https://szao.dolgi.msk.ru/account/3470416151/", 3470416151)</f>
        <v>3470416151</v>
      </c>
      <c r="D1198" t="s">
        <v>29</v>
      </c>
      <c r="E1198">
        <v>39214.730000000003</v>
      </c>
      <c r="AX1198">
        <v>2.78</v>
      </c>
      <c r="AY1198">
        <v>2.79</v>
      </c>
      <c r="AZ1198" t="s">
        <v>30</v>
      </c>
      <c r="BA1198" t="s">
        <v>31</v>
      </c>
      <c r="BB1198">
        <v>39214.730000000003</v>
      </c>
      <c r="BC1198">
        <v>39214.730000000003</v>
      </c>
      <c r="BD1198">
        <v>39214.730000000003</v>
      </c>
      <c r="BE1198">
        <v>39214.730000000003</v>
      </c>
      <c r="BF1198">
        <v>25134.7</v>
      </c>
      <c r="BG1198">
        <v>12761.47</v>
      </c>
      <c r="BH1198">
        <v>1255.8</v>
      </c>
      <c r="BI1198">
        <v>3609.78</v>
      </c>
      <c r="BJ1198">
        <v>1016.6</v>
      </c>
      <c r="BK1198">
        <v>1744.58</v>
      </c>
      <c r="BL1198">
        <v>16148.22</v>
      </c>
      <c r="BM1198">
        <v>2678.28</v>
      </c>
      <c r="BP1198" s="3">
        <v>45623</v>
      </c>
      <c r="BQ1198">
        <v>24604.31</v>
      </c>
    </row>
    <row r="1199" spans="1:71" x14ac:dyDescent="0.25">
      <c r="A1199" t="s">
        <v>1329</v>
      </c>
      <c r="B1199" t="s">
        <v>1352</v>
      </c>
      <c r="C1199" s="2">
        <f>HYPERLINK("https://szao.dolgi.msk.ru/account/3470416303/", 3470416303)</f>
        <v>3470416303</v>
      </c>
      <c r="D1199" t="s">
        <v>29</v>
      </c>
      <c r="E1199">
        <v>76514.559999999998</v>
      </c>
      <c r="AX1199">
        <v>5.14</v>
      </c>
      <c r="AY1199">
        <v>4.9800000000000004</v>
      </c>
      <c r="AZ1199" t="s">
        <v>69</v>
      </c>
      <c r="BA1199" t="s">
        <v>49</v>
      </c>
      <c r="BB1199">
        <v>76514.559999999998</v>
      </c>
      <c r="BC1199">
        <v>76514.559999999998</v>
      </c>
      <c r="BD1199">
        <v>76514.559999999998</v>
      </c>
      <c r="BE1199">
        <v>76514.559999999998</v>
      </c>
      <c r="BF1199">
        <v>61165.01</v>
      </c>
      <c r="BG1199">
        <v>18713.14</v>
      </c>
      <c r="BH1199">
        <v>5266.71</v>
      </c>
      <c r="BI1199">
        <v>12812.32</v>
      </c>
      <c r="BJ1199">
        <v>3603.5</v>
      </c>
      <c r="BK1199">
        <v>6813.11</v>
      </c>
      <c r="BL1199">
        <v>24991.66</v>
      </c>
      <c r="BM1199">
        <v>4314.12</v>
      </c>
      <c r="BP1199" s="3">
        <v>45558</v>
      </c>
      <c r="BQ1199">
        <v>9836.9</v>
      </c>
      <c r="BR1199" s="3">
        <v>45498</v>
      </c>
      <c r="BS1199" t="s">
        <v>1353</v>
      </c>
    </row>
    <row r="1200" spans="1:71" x14ac:dyDescent="0.25">
      <c r="A1200" t="s">
        <v>1354</v>
      </c>
      <c r="B1200" t="s">
        <v>354</v>
      </c>
      <c r="C1200" s="2">
        <f>HYPERLINK("https://szao.dolgi.msk.ru/account/3470293016/", 3470293016)</f>
        <v>3470293016</v>
      </c>
      <c r="D1200" t="s">
        <v>29</v>
      </c>
      <c r="E1200">
        <v>13015.26</v>
      </c>
      <c r="AX1200">
        <v>2.78</v>
      </c>
      <c r="AY1200">
        <v>2.78</v>
      </c>
      <c r="AZ1200" t="s">
        <v>30</v>
      </c>
      <c r="BA1200" t="s">
        <v>31</v>
      </c>
      <c r="BB1200">
        <v>13015.26</v>
      </c>
      <c r="BC1200">
        <v>13015.26</v>
      </c>
      <c r="BD1200">
        <v>13015.26</v>
      </c>
      <c r="BE1200">
        <v>13015.26</v>
      </c>
      <c r="BF1200">
        <v>8336.66</v>
      </c>
      <c r="BG1200">
        <v>5450.25</v>
      </c>
      <c r="BH1200">
        <v>538.20000000000005</v>
      </c>
      <c r="BI1200">
        <v>955.53</v>
      </c>
      <c r="BJ1200">
        <v>269.10000000000002</v>
      </c>
      <c r="BK1200">
        <v>619.77</v>
      </c>
      <c r="BL1200">
        <v>4408.29</v>
      </c>
      <c r="BM1200">
        <v>774.12</v>
      </c>
      <c r="BN1200">
        <v>6697.72</v>
      </c>
      <c r="BP1200" s="3">
        <v>45673</v>
      </c>
      <c r="BQ1200">
        <v>6697.72</v>
      </c>
      <c r="BR1200" s="3">
        <v>45061</v>
      </c>
      <c r="BS1200" t="s">
        <v>854</v>
      </c>
    </row>
    <row r="1201" spans="1:71" x14ac:dyDescent="0.25">
      <c r="A1201" t="s">
        <v>1354</v>
      </c>
      <c r="B1201" t="s">
        <v>92</v>
      </c>
      <c r="C1201" s="2">
        <f>HYPERLINK("https://szao.dolgi.msk.ru/account/3470293198/", 3470293198)</f>
        <v>3470293198</v>
      </c>
      <c r="D1201" t="s">
        <v>29</v>
      </c>
      <c r="E1201">
        <v>31229.56</v>
      </c>
      <c r="AX1201">
        <v>5.6</v>
      </c>
      <c r="AY1201">
        <v>6.1</v>
      </c>
      <c r="AZ1201" t="s">
        <v>40</v>
      </c>
      <c r="BA1201" t="s">
        <v>49</v>
      </c>
      <c r="BB1201">
        <v>31229.56</v>
      </c>
      <c r="BC1201">
        <v>31229.56</v>
      </c>
      <c r="BD1201">
        <v>31229.56</v>
      </c>
      <c r="BE1201">
        <v>31229.56</v>
      </c>
      <c r="BF1201">
        <v>31229.56</v>
      </c>
      <c r="BG1201">
        <v>7882.2</v>
      </c>
      <c r="BH1201">
        <v>2285.21</v>
      </c>
      <c r="BI1201">
        <v>5529.61</v>
      </c>
      <c r="BJ1201">
        <v>1557.27</v>
      </c>
      <c r="BK1201">
        <v>2949.97</v>
      </c>
      <c r="BL1201">
        <v>9378.4500000000007</v>
      </c>
      <c r="BM1201">
        <v>1646.85</v>
      </c>
      <c r="BO1201">
        <v>5117.53</v>
      </c>
      <c r="BP1201" s="3">
        <v>45692</v>
      </c>
      <c r="BQ1201">
        <v>5117.53</v>
      </c>
    </row>
    <row r="1202" spans="1:71" x14ac:dyDescent="0.25">
      <c r="A1202" t="s">
        <v>1354</v>
      </c>
      <c r="B1202" t="s">
        <v>33</v>
      </c>
      <c r="C1202" s="2">
        <f>HYPERLINK("https://szao.dolgi.msk.ru/account/3470293403/", 3470293403)</f>
        <v>3470293403</v>
      </c>
      <c r="D1202" t="s">
        <v>29</v>
      </c>
      <c r="E1202">
        <v>171792.52</v>
      </c>
      <c r="AX1202">
        <v>24.02</v>
      </c>
      <c r="AY1202">
        <v>18.36</v>
      </c>
      <c r="AZ1202" t="s">
        <v>56</v>
      </c>
      <c r="BA1202" t="s">
        <v>36</v>
      </c>
      <c r="BB1202">
        <v>171792.52</v>
      </c>
      <c r="BC1202">
        <v>171792.52</v>
      </c>
      <c r="BD1202">
        <v>171792.52</v>
      </c>
      <c r="BE1202">
        <v>171792.52</v>
      </c>
      <c r="BF1202">
        <v>162433.28</v>
      </c>
      <c r="BG1202">
        <v>44650</v>
      </c>
      <c r="BH1202">
        <v>12877.07</v>
      </c>
      <c r="BI1202">
        <v>35445.19</v>
      </c>
      <c r="BJ1202">
        <v>9545.2999999999993</v>
      </c>
      <c r="BK1202">
        <v>7199.12</v>
      </c>
      <c r="BL1202">
        <v>52324.73</v>
      </c>
      <c r="BM1202">
        <v>9751.11</v>
      </c>
      <c r="BP1202" s="3">
        <v>45370</v>
      </c>
      <c r="BQ1202">
        <v>0</v>
      </c>
      <c r="BR1202" s="3">
        <v>45670</v>
      </c>
      <c r="BS1202" t="s">
        <v>1355</v>
      </c>
    </row>
    <row r="1203" spans="1:71" x14ac:dyDescent="0.25">
      <c r="A1203" t="s">
        <v>1354</v>
      </c>
      <c r="B1203" t="s">
        <v>60</v>
      </c>
      <c r="C1203" s="2">
        <f>HYPERLINK("https://szao.dolgi.msk.ru/account/3470291838/", 3470291838)</f>
        <v>3470291838</v>
      </c>
      <c r="D1203" t="s">
        <v>29</v>
      </c>
      <c r="E1203">
        <v>23164.29</v>
      </c>
      <c r="AX1203">
        <v>4.17</v>
      </c>
      <c r="AY1203">
        <v>4.0199999999999996</v>
      </c>
      <c r="AZ1203" t="s">
        <v>30</v>
      </c>
      <c r="BA1203" t="s">
        <v>49</v>
      </c>
      <c r="BB1203">
        <v>23164.29</v>
      </c>
      <c r="BC1203">
        <v>23164.29</v>
      </c>
      <c r="BD1203">
        <v>23164.29</v>
      </c>
      <c r="BE1203">
        <v>23164.29</v>
      </c>
      <c r="BF1203">
        <v>16721.919999999998</v>
      </c>
      <c r="BG1203">
        <v>8407.99</v>
      </c>
      <c r="BH1203">
        <v>1253.18</v>
      </c>
      <c r="BI1203">
        <v>2702.87</v>
      </c>
      <c r="BJ1203">
        <v>762.59</v>
      </c>
      <c r="BK1203">
        <v>1731.81</v>
      </c>
      <c r="BL1203">
        <v>7065.2</v>
      </c>
      <c r="BM1203">
        <v>1240.6500000000001</v>
      </c>
      <c r="BN1203">
        <v>5143.53</v>
      </c>
      <c r="BP1203" s="3">
        <v>45677</v>
      </c>
      <c r="BQ1203">
        <v>5143.53</v>
      </c>
      <c r="BR1203" s="3">
        <v>45148</v>
      </c>
      <c r="BS1203" t="s">
        <v>1356</v>
      </c>
    </row>
    <row r="1204" spans="1:71" x14ac:dyDescent="0.25">
      <c r="A1204" t="s">
        <v>1354</v>
      </c>
      <c r="B1204" t="s">
        <v>1081</v>
      </c>
      <c r="C1204" s="2">
        <f>HYPERLINK("https://szao.dolgi.msk.ru/account/3470292355/", 3470292355)</f>
        <v>3470292355</v>
      </c>
      <c r="D1204" t="s">
        <v>29</v>
      </c>
      <c r="E1204">
        <v>229093.68</v>
      </c>
      <c r="AX1204">
        <v>34.9</v>
      </c>
      <c r="AY1204">
        <v>28.82</v>
      </c>
      <c r="AZ1204" t="s">
        <v>35</v>
      </c>
      <c r="BA1204" t="s">
        <v>36</v>
      </c>
      <c r="BB1204">
        <v>229093.68</v>
      </c>
      <c r="BC1204">
        <v>229093.68</v>
      </c>
      <c r="BD1204">
        <v>229093.68</v>
      </c>
      <c r="BE1204">
        <v>229093.68</v>
      </c>
      <c r="BF1204">
        <v>221144.12</v>
      </c>
      <c r="BG1204">
        <v>78628.259999999995</v>
      </c>
      <c r="BH1204">
        <v>9152.2199999999993</v>
      </c>
      <c r="BI1204">
        <v>31009.56</v>
      </c>
      <c r="BJ1204">
        <v>9021.25</v>
      </c>
      <c r="BK1204">
        <v>1185.77</v>
      </c>
      <c r="BL1204">
        <v>86543.09</v>
      </c>
      <c r="BM1204">
        <v>13553.53</v>
      </c>
      <c r="BP1204" s="3">
        <v>45667</v>
      </c>
      <c r="BQ1204">
        <v>6987.87</v>
      </c>
      <c r="BR1204" s="3">
        <v>45363</v>
      </c>
      <c r="BS1204" t="s">
        <v>1357</v>
      </c>
    </row>
    <row r="1205" spans="1:71" x14ac:dyDescent="0.25">
      <c r="A1205" t="s">
        <v>1358</v>
      </c>
      <c r="B1205" t="s">
        <v>34</v>
      </c>
      <c r="C1205" s="2">
        <f>HYPERLINK("https://szao.dolgi.msk.ru/account/3470290114/", 3470290114)</f>
        <v>3470290114</v>
      </c>
      <c r="D1205" t="s">
        <v>29</v>
      </c>
      <c r="E1205">
        <v>34164.730000000003</v>
      </c>
      <c r="AX1205">
        <v>12.89</v>
      </c>
      <c r="AY1205">
        <v>8.7799999999999994</v>
      </c>
      <c r="AZ1205" t="s">
        <v>30</v>
      </c>
      <c r="BA1205" t="s">
        <v>36</v>
      </c>
      <c r="BB1205">
        <v>34164.730000000003</v>
      </c>
      <c r="BC1205">
        <v>34164.730000000003</v>
      </c>
      <c r="BD1205">
        <v>34164.730000000003</v>
      </c>
      <c r="BE1205">
        <v>34164.730000000003</v>
      </c>
      <c r="BF1205">
        <v>30271.71</v>
      </c>
      <c r="BG1205">
        <v>2349.08</v>
      </c>
      <c r="BH1205">
        <v>4326.7</v>
      </c>
      <c r="BI1205">
        <v>12880.72</v>
      </c>
      <c r="BJ1205">
        <v>3412.64</v>
      </c>
      <c r="BK1205">
        <v>6073.85</v>
      </c>
      <c r="BL1205">
        <v>4650.78</v>
      </c>
      <c r="BM1205">
        <v>470.96</v>
      </c>
      <c r="BP1205" s="3">
        <v>45653</v>
      </c>
      <c r="BQ1205">
        <v>3577.8</v>
      </c>
      <c r="BR1205" s="3">
        <v>45355</v>
      </c>
      <c r="BS1205" t="s">
        <v>1359</v>
      </c>
    </row>
    <row r="1206" spans="1:71" x14ac:dyDescent="0.25">
      <c r="A1206" t="s">
        <v>1358</v>
      </c>
      <c r="B1206" t="s">
        <v>385</v>
      </c>
      <c r="C1206" s="2">
        <f>HYPERLINK("https://szao.dolgi.msk.ru/account/3470290085/", 3470290085)</f>
        <v>3470290085</v>
      </c>
      <c r="D1206" t="s">
        <v>29</v>
      </c>
      <c r="E1206">
        <v>16734.310000000001</v>
      </c>
      <c r="AX1206">
        <v>5.33</v>
      </c>
      <c r="AY1206">
        <v>3.72</v>
      </c>
      <c r="AZ1206" t="s">
        <v>35</v>
      </c>
      <c r="BA1206" t="s">
        <v>49</v>
      </c>
      <c r="BB1206">
        <v>16734.310000000001</v>
      </c>
      <c r="BC1206">
        <v>16734.310000000001</v>
      </c>
      <c r="BD1206">
        <v>16734.310000000001</v>
      </c>
      <c r="BE1206">
        <v>16734.310000000001</v>
      </c>
      <c r="BF1206">
        <v>12239.05</v>
      </c>
      <c r="BG1206">
        <v>8103.65</v>
      </c>
      <c r="BH1206">
        <v>131.09</v>
      </c>
      <c r="BI1206">
        <v>212.34</v>
      </c>
      <c r="BJ1206">
        <v>576.30999999999995</v>
      </c>
      <c r="BK1206">
        <v>247.82</v>
      </c>
      <c r="BL1206">
        <v>7223.22</v>
      </c>
      <c r="BM1206">
        <v>239.88</v>
      </c>
      <c r="BN1206">
        <v>4174.1499999999996</v>
      </c>
      <c r="BP1206" s="3">
        <v>45671</v>
      </c>
      <c r="BQ1206">
        <v>4174.1499999999996</v>
      </c>
      <c r="BR1206" s="3">
        <v>45068</v>
      </c>
      <c r="BS1206" t="s">
        <v>1360</v>
      </c>
    </row>
    <row r="1207" spans="1:71" x14ac:dyDescent="0.25">
      <c r="A1207" t="s">
        <v>1358</v>
      </c>
      <c r="B1207" t="s">
        <v>352</v>
      </c>
      <c r="C1207" s="2">
        <f>HYPERLINK("https://szao.dolgi.msk.ru/account/3470290544/", 3470290544)</f>
        <v>3470290544</v>
      </c>
      <c r="D1207" t="s">
        <v>29</v>
      </c>
      <c r="E1207">
        <v>31044.93</v>
      </c>
      <c r="AX1207">
        <v>2.91</v>
      </c>
      <c r="AY1207">
        <v>2.93</v>
      </c>
      <c r="AZ1207" t="s">
        <v>35</v>
      </c>
      <c r="BA1207" t="s">
        <v>31</v>
      </c>
      <c r="BB1207">
        <v>31044.93</v>
      </c>
      <c r="BC1207">
        <v>31044.93</v>
      </c>
      <c r="BD1207">
        <v>31044.93</v>
      </c>
      <c r="BE1207">
        <v>31044.93</v>
      </c>
      <c r="BF1207">
        <v>30288.44</v>
      </c>
      <c r="BG1207">
        <v>3355.52</v>
      </c>
      <c r="BH1207">
        <v>3732.42</v>
      </c>
      <c r="BI1207">
        <v>9067.98</v>
      </c>
      <c r="BJ1207">
        <v>2553.75</v>
      </c>
      <c r="BK1207">
        <v>4826.07</v>
      </c>
      <c r="BL1207">
        <v>6804.97</v>
      </c>
      <c r="BM1207">
        <v>704.22</v>
      </c>
      <c r="BN1207">
        <v>20144.53</v>
      </c>
      <c r="BP1207" s="3">
        <v>45691</v>
      </c>
      <c r="BQ1207">
        <v>9851.14</v>
      </c>
      <c r="BR1207" s="3">
        <v>45485</v>
      </c>
      <c r="BS1207" t="s">
        <v>1361</v>
      </c>
    </row>
    <row r="1208" spans="1:71" x14ac:dyDescent="0.25">
      <c r="A1208" t="s">
        <v>1358</v>
      </c>
      <c r="B1208" t="s">
        <v>376</v>
      </c>
      <c r="C1208" s="2">
        <f>HYPERLINK("https://szao.dolgi.msk.ru/account/3470290552/", 3470290552)</f>
        <v>3470290552</v>
      </c>
      <c r="D1208" t="s">
        <v>29</v>
      </c>
      <c r="E1208">
        <v>77760.740000000005</v>
      </c>
      <c r="AX1208">
        <v>3.27</v>
      </c>
      <c r="AY1208">
        <v>3.2</v>
      </c>
      <c r="AZ1208" t="s">
        <v>142</v>
      </c>
      <c r="BA1208" t="s">
        <v>49</v>
      </c>
      <c r="BB1208">
        <v>77760.740000000005</v>
      </c>
      <c r="BC1208">
        <v>77760.740000000005</v>
      </c>
      <c r="BD1208">
        <v>77760.740000000005</v>
      </c>
      <c r="BE1208">
        <v>77760.740000000005</v>
      </c>
      <c r="BF1208">
        <v>53489.66</v>
      </c>
      <c r="BG1208">
        <v>7934.69</v>
      </c>
      <c r="BH1208">
        <v>4065.95</v>
      </c>
      <c r="BI1208">
        <v>29634.880000000001</v>
      </c>
      <c r="BJ1208">
        <v>8345.89</v>
      </c>
      <c r="BK1208">
        <v>9528.9</v>
      </c>
      <c r="BL1208">
        <v>16572.27</v>
      </c>
      <c r="BM1208">
        <v>1678.16</v>
      </c>
      <c r="BN1208">
        <v>128018.96</v>
      </c>
      <c r="BP1208" s="3">
        <v>45670</v>
      </c>
      <c r="BQ1208">
        <v>128018.96</v>
      </c>
    </row>
  </sheetData>
  <autoFilter ref="A9:BS1208"/>
  <mergeCells count="8">
    <mergeCell ref="A6:BS6"/>
    <mergeCell ref="A7:BS7"/>
    <mergeCell ref="A8:BS8"/>
    <mergeCell ref="A1:BS1"/>
    <mergeCell ref="A2:BS2"/>
    <mergeCell ref="A3:BS3"/>
    <mergeCell ref="A4:BS4"/>
    <mergeCell ref="A5:B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Жилищник района Щукино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Геннадьевна Севостьянова (Ведущий юрисконсульт) &lt;sevostyanova-valentina@mail.ru&gt;</dc:creator>
  <dc:description>uuid: 0194f988bc05700094e78f47bcf18824 generated: 2025-02-12 12:41:15</dc:description>
  <cp:lastModifiedBy>User</cp:lastModifiedBy>
  <dcterms:created xsi:type="dcterms:W3CDTF">2025-02-12T09:41:23Z</dcterms:created>
  <dcterms:modified xsi:type="dcterms:W3CDTF">2025-02-12T09:46:09Z</dcterms:modified>
</cp:coreProperties>
</file>